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rtk1jqmHNdbhL5UwOg6nF2OEVCohTSq7/RMbqskXJDZoBUzZZ6qIp+EmRk81crgJTZvEQqw535ZsKcU41jEIGA==" workbookSaltValue="gxgEtsti2moU1naLEvmO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BK11" i="11"/>
  <c r="AP10" i="21"/>
  <c r="BH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BG10" i="8"/>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M12" i="11"/>
  <c r="V11" i="11"/>
  <c r="BF10" i="11"/>
  <c r="BM16" i="11"/>
  <c r="BH11" i="16"/>
  <c r="AL16" i="11"/>
  <c r="C16" i="6"/>
  <c r="BE9" i="13"/>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<sst xmlns="http://schemas.openxmlformats.org/spreadsheetml/2006/main" count="2102" uniqueCount="917">
  <si>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</si>
  <si>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</si>
  <si>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</si>
  <si>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</si>
  <si>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</si>
  <si>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</si>
  <si>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</si>
  <si>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</si>
  <si>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</si>
  <si>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</si>
  <si>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</si>
  <si>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</si>
  <si>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</si>
  <si>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</si>
  <si>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</si>
  <si>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</si>
  <si>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</si>
  <si>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</si>
  <si>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</si>
  <si>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</si>
  <si>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</si>
  <si>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</si>
  <si>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</si>
  <si>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</si>
  <si>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</si>
  <si>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</si>
  <si>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</si>
  <si>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</si>
  <si>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</si>
  <si>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</si>
  <si>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</si>
  <si>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</si>
  <si>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</si>
  <si>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</si>
  <si>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</si>
  <si>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</si>
  <si>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</si>
  <si>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</si>
  <si>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</si>
  <si>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</si>
  <si>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</si>
  <si>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</si>
  <si>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</si>
  <si>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</si>
  <si>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</si>
  <si>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</si>
  <si>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</si>
  <si>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</si>
  <si>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</si>
  <si>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</si>
  <si>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</si>
  <si>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</si>
  <si>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</si>
  <si>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</si>
  <si>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</si>
  <si>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</si>
  <si>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</si>
  <si>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</si>
  <si>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</si>
  <si>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</si>
  <si>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</si>
  <si>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</si>
  <si>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</si>
  <si>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</si>
  <si>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</si>
  <si>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</si>
  <si>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</si>
  <si>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</si>
  <si>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</si>
  <si>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</si>
  <si>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</si>
  <si>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</si>
  <si>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</si>
  <si>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</si>
  <si>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</si>
  <si>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</si>
  <si>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</si>
  <si>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</si>
  <si>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</si>
  <si>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</si>
  <si>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</si>
  <si>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</si>
  <si>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</si>
  <si>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</si>
  <si>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</si>
  <si>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</si>
  <si>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</si>
  <si>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</si>
  <si>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</si>
  <si>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</si>
  <si>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</si>
  <si>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</si>
  <si>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</si>
  <si>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</si>
  <si>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</si>
  <si>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</si>
  <si>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</si>
  <si>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</si>
  <si>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</si>
  <si>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</si>
  <si>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</si>
  <si>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</si>
  <si>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</si>
  <si>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</si>
  <si>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</si>
  <si>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</si>
  <si>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</si>
  <si>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</si>
  <si>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</si>
  <si>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</si>
  <si>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</si>
  <si>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</si>
  <si>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</si>
  <si>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</si>
  <si>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</si>
  <si>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</si>
  <si>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</si>
  <si>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</si>
  <si>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</si>
  <si>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</si>
  <si>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</si>
  <si>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</si>
  <si>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</si>
  <si>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</si>
  <si>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</si>
  <si>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</si>
  <si>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</si>
  <si>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</si>
  <si>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</si>
  <si>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</si>
  <si>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</si>
  <si>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</si>
  <si>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</si>
  <si>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</si>
  <si>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</si>
  <si>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</si>
  <si>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</si>
  <si>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</si>
  <si>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</si>
  <si>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</si>
  <si>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</si>
  <si>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</si>
  <si>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</si>
  <si>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</si>
  <si>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</si>
  <si>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</si>
  <si>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</si>
  <si>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</si>
  <si>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</si>
  <si>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</si>
  <si>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</si>
  <si>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</si>
  <si>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</si>
  <si>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</si>
  <si>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</si>
  <si>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</si>
  <si>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</si>
  <si>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</si>
  <si>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</si>
  <si>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</si>
  <si>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</si>
  <si>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</si>
  <si>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</si>
  <si>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</si>
  <si>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</si>
  <si>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</si>
  <si>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</si>
  <si>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</si>
  <si>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</si>
  <si>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</si>
  <si>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</si>
  <si>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</si>
  <si>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</si>
  <si>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</si>
  <si>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</si>
  <si>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</si>
  <si>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</si>
  <si>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</si>
  <si>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</si>
  <si>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</si>
  <si>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</si>
  <si>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</si>
  <si>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</si>
  <si>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</si>
  <si>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</si>
  <si>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</si>
  <si>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</si>
  <si>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</si>
  <si>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</si>
  <si>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</si>
  <si>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</si>
  <si>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</si>
  <si>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</si>
  <si>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</si>
  <si>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</si>
  <si>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</si>
  <si>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</si>
  <si>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</si>
  <si>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</si>
  <si>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</si>
  <si>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</si>
  <si>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</si>
  <si>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</si>
  <si>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</si>
  <si>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</si>
  <si>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</si>
  <si>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</si>
  <si>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</si>
  <si>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</si>
  <si>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</si>
  <si>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</si>
  <si>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</si>
  <si>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</si>
  <si>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</si>
  <si>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</si>
  <si>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</si>
  <si>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</si>
  <si>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</si>
  <si>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</si>
  <si>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</si>
  <si>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</si>
  <si>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</si>
  <si>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</si>
  <si>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</si>
  <si>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</si>
  <si>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</si>
  <si>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</si>
  <si>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</si>
  <si>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</si>
  <si>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</si>
  <si>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</si>
  <si>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</si>
  <si>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</si>
  <si>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</si>
  <si>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</si>
  <si>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</si>
  <si>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</si>
  <si>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</si>
  <si>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</si>
  <si>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</si>
  <si>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</si>
  <si>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</si>
  <si>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</si>
  <si>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</si>
  <si>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</si>
  <si>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</si>
  <si>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</si>
  <si>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</si>
  <si>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</si>
  <si>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</si>
  <si>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</si>
  <si>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</si>
  <si>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</si>
  <si>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</si>
  <si>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</si>
  <si>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</si>
  <si>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</si>
  <si>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</si>
  <si>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</si>
  <si>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</si>
  <si>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</si>
  <si>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</si>
  <si>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</si>
  <si>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</si>
  <si>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</si>
  <si>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</si>
  <si>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</si>
  <si>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</si>
  <si>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</si>
  <si>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</si>
  <si>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</si>
  <si>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</si>
  <si>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</si>
  <si>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</si>
  <si>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</si>
  <si>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</si>
  <si>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</si>
  <si>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</si>
  <si>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</si>
  <si>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</si>
  <si>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</si>
  <si>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</si>
  <si>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</si>
  <si>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</si>
  <si>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</si>
  <si>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</si>
  <si>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</si>
  <si>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</si>
  <si>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</si>
  <si>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</si>
  <si>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</si>
  <si>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</si>
  <si>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</si>
  <si>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</si>
  <si>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</si>
  <si>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</si>
  <si>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</si>
  <si>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</si>
  <si>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</si>
  <si>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</si>
  <si>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</si>
  <si>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</si>
  <si>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</si>
  <si>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</si>
  <si>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</si>
  <si>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</si>
  <si>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</si>
  <si>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</si>
  <si>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</si>
  <si>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</si>
  <si>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</si>
  <si>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</si>
  <si>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</si>
  <si>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</si>
  <si>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</si>
  <si>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</si>
  <si>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</si>
  <si>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</si>
  <si>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</si>
  <si>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</si>
  <si>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</si>
  <si>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</si>
  <si>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</si>
  <si>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</si>
  <si>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</si>
  <si>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</si>
  <si>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</si>
  <si>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</si>
  <si>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</si>
  <si>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</si>
  <si>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</si>
  <si>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</si>
  <si>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</si>
  <si>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</si>
  <si>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</si>
  <si>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</si>
  <si>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</si>
  <si>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</si>
  <si>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</si>
  <si>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</si>
  <si>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</si>
  <si>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</si>
  <si>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</si>
  <si>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</si>
  <si>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</si>
  <si>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</si>
  <si>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</si>
  <si>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</si>
  <si>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</si>
  <si>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</si>
  <si>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</si>
  <si>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</si>
  <si>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</si>
  <si>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</si>
  <si>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</si>
  <si>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</si>
  <si>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</si>
  <si>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</si>
  <si>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</si>
  <si>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</si>
  <si>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</si>
  <si>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</si>
  <si>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</si>
  <si>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</si>
  <si>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</si>
  <si>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</si>
  <si>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</si>
  <si>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</si>
  <si>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</si>
  <si>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</si>
  <si>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</si>
  <si>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</si>
  <si>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</si>
  <si>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</si>
  <si>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</si>
  <si>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</si>
  <si>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</si>
  <si>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</si>
  <si>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</si>
  <si>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</si>
  <si>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</si>
  <si>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</si>
  <si>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</si>
  <si>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</si>
  <si>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</si>
  <si>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</si>
  <si>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</si>
  <si>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</si>
  <si>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</si>
  <si>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</si>
  <si>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</si>
  <si>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</si>
  <si>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</si>
  <si>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</si>
  <si>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</si>
  <si>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</si>
  <si>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</si>
  <si>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</si>
  <si>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</si>
  <si>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</si>
  <si>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</si>
  <si>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</si>
  <si>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</si>
  <si>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</si>
  <si>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</si>
  <si>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</si>
  <si>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</si>
  <si>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</si>
  <si>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</si>
  <si>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</si>
  <si>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</si>
  <si>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</si>
  <si>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</si>
  <si>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</si>
  <si>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</si>
  <si>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</si>
  <si>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</si>
  <si>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</si>
  <si>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</si>
  <si>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</si>
  <si>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</si>
  <si>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</si>
  <si>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</si>
  <si>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</si>
  <si>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</si>
  <si>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</si>
  <si>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</si>
  <si>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</si>
  <si>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</si>
  <si>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</si>
  <si>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</si>
  <si>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</si>
  <si>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</si>
  <si>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</si>
  <si>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</si>
  <si>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</si>
  <si>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</si>
  <si>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</si>
  <si>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</si>
  <si>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</si>
  <si>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</si>
  <si>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</si>
  <si>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</si>
  <si>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</si>
  <si>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</si>
  <si>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</si>
  <si>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</si>
  <si>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</si>
  <si>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</si>
  <si>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</si>
  <si>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</si>
  <si>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</si>
  <si>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</si>
  <si>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</si>
  <si>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</si>
  <si>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</si>
  <si>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</si>
  <si>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</si>
  <si>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</si>
  <si>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</si>
  <si>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</si>
  <si>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</si>
  <si>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</si>
  <si>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</si>
  <si>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</si>
  <si>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</si>
  <si>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</si>
  <si>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</si>
  <si>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</si>
  <si>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</si>
  <si>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</si>
  <si>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</si>
  <si>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</si>
  <si>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</si>
  <si>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</si>
  <si>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</si>
  <si>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</si>
  <si>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</si>
  <si>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</si>
  <si>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</si>
  <si>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</si>
  <si>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</si>
  <si>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</si>
  <si>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</si>
  <si>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</si>
  <si>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</si>
  <si>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</si>
  <si>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</si>
  <si>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</si>
  <si>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</si>
  <si>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</si>
  <si>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</si>
  <si>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</si>
  <si>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</si>
  <si>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</si>
  <si>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</si>
  <si>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</si>
  <si>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</si>
  <si>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</si>
  <si>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</si>
  <si>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</si>
  <si>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</si>
  <si>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</si>
  <si>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</si>
  <si>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</si>
  <si>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</si>
  <si>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</si>
  <si>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</si>
  <si>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</si>
  <si>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</si>
  <si>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</si>
  <si>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</si>
  <si>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</si>
  <si>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</si>
  <si>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</si>
  <si>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</si>
  <si>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</si>
  <si>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</si>
  <si>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</si>
  <si>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</si>
  <si>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</si>
  <si>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</si>
  <si>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</si>
  <si>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</si>
  <si>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</si>
  <si>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</si>
  <si>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</si>
  <si>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</si>
  <si>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</si>
  <si>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</si>
  <si>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</si>
  <si>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</si>
  <si>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</si>
  <si>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</si>
  <si>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</si>
  <si>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</si>
  <si>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</si>
  <si>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</si>
  <si>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</si>
  <si>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</si>
  <si>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</si>
  <si>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</si>
  <si>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</si>
  <si>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</si>
  <si>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</si>
  <si>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</si>
  <si>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</si>
  <si>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</si>
  <si>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</si>
  <si>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</si>
  <si>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</si>
  <si>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</si>
  <si>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</si>
  <si>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</si>
  <si>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</si>
  <si>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</si>
  <si>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</si>
  <si>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</si>
  <si>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</si>
  <si>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</si>
  <si>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</si>
  <si>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</si>
  <si>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</si>
  <si>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</si>
  <si>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</si>
  <si>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</si>
  <si>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</si>
  <si>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</si>
  <si>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</si>
  <si>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</si>
  <si>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</si>
  <si>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</si>
  <si>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</si>
  <si>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</si>
  <si>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</si>
  <si>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</si>
  <si>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</si>
  <si>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</si>
  <si>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</si>
  <si>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</si>
  <si>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</si>
  <si>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</si>
  <si>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</si>
  <si>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</si>
  <si>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</si>
  <si>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</si>
  <si>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</si>
  <si>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</si>
  <si>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</si>
  <si>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</si>
  <si>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</si>
  <si>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</si>
  <si>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</si>
  <si>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</si>
  <si>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</si>
  <si>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</si>
  <si>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</si>
  <si>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</si>
  <si>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</si>
  <si>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</si>
  <si>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</si>
  <si>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</si>
  <si>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</si>
  <si>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</si>
  <si>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</si>
  <si>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</si>
  <si>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</si>
  <si>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</si>
  <si>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</si>
  <si>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</si>
  <si>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</si>
  <si>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</si>
  <si>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</si>
  <si>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</si>
  <si>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</si>
  <si>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</si>
  <si>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</si>
  <si>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</si>
  <si>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</si>
  <si>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</si>
  <si>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</si>
  <si>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</si>
  <si>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</si>
  <si>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</si>
  <si>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</si>
  <si>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</si>
  <si>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</si>
  <si>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</si>
  <si>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</si>
  <si>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</si>
  <si>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</si>
  <si>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</si>
  <si>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</si>
  <si>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</si>
  <si>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</si>
  <si>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</si>
  <si>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</si>
  <si>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</si>
  <si>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</si>
  <si>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</si>
  <si>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</si>
  <si>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</si>
  <si>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</si>
  <si>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</si>
  <si>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</si>
  <si>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</si>
  <si>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</si>
  <si>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</si>
  <si>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</si>
  <si>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</si>
  <si>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</si>
  <si>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</si>
  <si>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</si>
  <si>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</si>
  <si>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</si>
  <si>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</si>
  <si>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</si>
  <si>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</si>
  <si>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</si>
  <si>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</si>
  <si>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</si>
  <si>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</si>
  <si>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</si>
  <si>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</si>
  <si>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</si>
  <si>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</si>
  <si>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</si>
  <si>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</si>
  <si>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</si>
  <si>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</si>
  <si>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</si>
  <si>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</si>
  <si>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</si>
  <si>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</si>
  <si>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</si>
  <si>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</si>
  <si>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</si>
  <si>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</si>
  <si>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</si>
  <si>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</si>
  <si>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</si>
  <si>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</si>
  <si>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</si>
  <si>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</si>
  <si>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</si>
  <si>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</si>
  <si>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</si>
  <si>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</si>
  <si>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</si>
  <si>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</si>
  <si>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</si>
  <si>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</si>
  <si>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</si>
  <si>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</si>
  <si>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</si>
  <si>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</si>
  <si>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</si>
  <si>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</si>
  <si>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</si>
  <si>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</si>
  <si>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</si>
  <si>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</si>
  <si>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</si>
  <si>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</si>
  <si>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</si>
  <si>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</si>
  <si>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</si>
  <si>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</si>
  <si>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</si>
  <si>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</si>
  <si>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</si>
  <si>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</si>
  <si>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</si>
  <si>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</si>
  <si>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</si>
  <si>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</si>
  <si>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</si>
  <si>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</si>
  <si>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</si>
  <si>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</si>
  <si>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</si>
  <si>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</si>
  <si>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</si>
  <si>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</si>
  <si>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</si>
  <si>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</si>
  <si>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</si>
  <si>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</si>
  <si>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</si>
  <si>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</si>
  <si>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</si>
  <si>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</si>
  <si>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</si>
  <si>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</si>
  <si>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</si>
  <si>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</si>
  <si>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</si>
  <si>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</si>
  <si>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</si>
  <si>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</si>
  <si>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</si>
  <si>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</si>
  <si>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</si>
  <si>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</si>
  <si>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</si>
  <si>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</si>
  <si>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</si>
  <si>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</si>
  <si>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</si>
  <si>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</si>
  <si>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</si>
  <si>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</si>
  <si>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</si>
  <si>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</si>
  <si>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</si>
  <si>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</si>
  <si>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</si>
  <si>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</si>
  <si>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</si>
  <si>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</si>
  <si>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</si>
  <si>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</si>
  <si>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</si>
  <si>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</si>
  <si>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</si>
  <si>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</si>
  <si>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</si>
  <si>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</si>
  <si>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</si>
  <si>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</si>
  <si>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</si>
  <si>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</si>
  <si>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</si>
  <si>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</si>
  <si>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</si>
  <si>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</si>
  <si>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</si>
  <si>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</si>
  <si>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</si>
  <si>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</si>
  <si>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</si>
  <si>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</si>
  <si>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</si>
  <si>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</si>
  <si>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</si>
  <si>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</si>
  <si>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</si>
  <si>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</si>
  <si>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</si>
  <si>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</si>
  <si>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</si>
  <si>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</si>
  <si>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</si>
  <si>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</si>
  <si>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</si>
  <si>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</si>
  <si>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</si>
  <si>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</si>
  <si>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</si>
  <si>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</si>
  <si>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</si>
  <si>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</si>
  <si>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</si>
  <si>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</si>
  <si>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</si>
  <si>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</si>
  <si>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</si>
  <si>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</si>
  <si>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</si>
  <si>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</si>
  <si>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</si>
  <si>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</si>
  <si>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</si>
  <si>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</si>
  <si>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</si>
  <si>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</si>
  <si>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</si>
  <si>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</si>
  <si>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</si>
  <si>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</si>
  <si>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</si>
  <si>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</si>
  <si>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</si>
  <si>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</si>
  <si>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</si>
  <si>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</si>
  <si>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</si>
  <si>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</si>
  <si>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</si>
  <si>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</si>
  <si>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</si>
  <si>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</si>
  <si>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</si>
  <si>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</si>
  <si>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</si>
  <si>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</si>
  <si>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</si>
  <si>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</si>
  <si>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</si>
  <si>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</si>
  <si>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</si>
  <si>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</si>
  <si>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</si>
  <si>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</si>
  <si>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</si>
  <si>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</si>
  <si>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</si>
  <si>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</si>
  <si>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</si>
  <si>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</si>
  <si>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</si>
  <si>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</si>
  <si>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</si>
  <si>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</si>
  <si>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</si>
  <si>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</si>
  <si>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</si>
  <si>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</si>
  <si>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</si>
  <si>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</si>
  <si>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</si>
  <si>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</si>
  <si>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</si>
  <si>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</si>
  <si>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</si>
  <si>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</si>
  <si>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</si>
  <si>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</si>
  <si>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</si>
  <si>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</si>
  <si>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</si>
  <si>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</si>
  <si>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</si>
  <si>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</si>
  <si>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</si>
  <si>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</si>
  <si>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</si>
  <si>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</si>
  <si>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</si>
  <si>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</si>
  <si>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</si>
  <si>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</si>
  <si>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</si>
  <si>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</si>
  <si>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</si>
  <si>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</si>
  <si>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</si>
  <si>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</si>
  <si>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</si>
  <si>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</si>
  <si>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</si>
  <si>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</si>
  <si>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</si>
  <si>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</si>
  <si>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</si>
  <si>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</si>
  <si>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</si>
  <si>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</si>
  <si>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</si>
  <si>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</si>
  <si>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</si>
  <si>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</si>
  <si>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</si>
  <si>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</si>
  <si>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</si>
  <si>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</si>
  <si>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</si>
  <si>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</si>
  <si>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</si>
  <si>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</si>
  <si>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</si>
  <si>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</si>
  <si>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</si>
  <si>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</si>
  <si>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</si>
  <si>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</si>
  <si>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CANGAS DEL NARCEA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</si>
</sst>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ig1yvAN999PDvQWZ3V6E6h++0ypjwiZsU64fs4efeup8+QGa8+7A+kh2uHiONESNkcP4sfaRTIOOhUYEJYClw==" saltValue="sutCDnoj14p5UGgeaRPp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DEL NARCEA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3</v>
      </c>
      <c r="F10" s="404">
        <f>IF(ISNUMBER(E10/B10),E10/B10," - ")</f>
        <v>3</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222</v>
      </c>
      <c r="D12" s="404">
        <f>IF(ISNUMBER(C12/Datos!BH12),C12/Datos!BH12," - ")</f>
        <v>222</v>
      </c>
      <c r="E12" s="403">
        <f>IF(ISNUMBER(IF(J_V="SI",Datos!J12,Datos!J12+Datos!Z12)),IF(J_V="SI",Datos!J12,Datos!J12+Datos!Z12)," - ")</f>
        <v>97</v>
      </c>
      <c r="F12" s="404">
        <f>IF(ISNUMBER(E12/B12),E12/B12," - ")</f>
        <v>97</v>
      </c>
      <c r="G12" s="403">
        <f>IF(ISNUMBER(IF(J_V="SI",Datos!K12,Datos!K12+Datos!AA12)),IF(J_V="SI",Datos!K12,Datos!K12+Datos!AA12)," - ")</f>
        <v>63</v>
      </c>
      <c r="H12" s="404">
        <f>IF(ISNUMBER(G12/B12),G12/B12," - ")</f>
        <v>63</v>
      </c>
      <c r="I12" s="403">
        <f>IF(ISNUMBER(IF(J_V="SI",Datos!L12,Datos!L12+Datos!AB12)),IF(J_V="SI",Datos!L12,Datos!L12+Datos!AB12)," - ")</f>
        <v>256</v>
      </c>
      <c r="J12" s="404">
        <f>IF(ISNUMBER(I12/B12),I12/B12," - ")</f>
        <v>256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225</v>
      </c>
      <c r="D13" s="850" t="str">
        <f>IF(ISNUMBER(C13/Datos!BI13),C13/Datos!BI13," - ")</f>
        <v xml:space="preserve"> - </v>
      </c>
      <c r="E13" s="849">
        <f>SUBTOTAL(9,E8:E12)</f>
        <v>100</v>
      </c>
      <c r="F13" s="850">
        <f>IF(ISNUMBER(E13/B13),E13/B13," - ")</f>
        <v>100</v>
      </c>
      <c r="G13" s="849">
        <f>SUBTOTAL(9,G8:G12)</f>
        <v>66</v>
      </c>
      <c r="H13" s="850">
        <f>IF(ISNUMBER(G13/B13),G13/B13," - ")</f>
        <v>66</v>
      </c>
      <c r="I13" s="849">
        <f>SUBTOTAL(9,I8:I12)</f>
        <v>259</v>
      </c>
      <c r="J13" s="850">
        <f>IF(ISNUMBER(I13/B13),I13/B13," - ")</f>
        <v>259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156</v>
      </c>
      <c r="D16" s="404">
        <f>IF(ISNUMBER(C16/Datos!BH16),C16/Datos!BH16," - ")</f>
        <v>156</v>
      </c>
      <c r="E16" s="403">
        <f>IF(ISNUMBER(IF(D_I="SI",Datos!J16,Datos!J16+Datos!AD16)),IF(D_I="SI",Datos!J16,Datos!J16+Datos!AD16)," - ")</f>
        <v>165</v>
      </c>
      <c r="F16" s="404">
        <f>IF(ISNUMBER(E16/B16),E16/B16," - ")</f>
        <v>165</v>
      </c>
      <c r="G16" s="403">
        <f>IF(ISNUMBER(IF(D_I="SI",Datos!K16,Datos!K16+Datos!AE16)),IF(D_I="SI",Datos!K16,Datos!K16+Datos!AE16)," - ")</f>
        <v>180</v>
      </c>
      <c r="H16" s="404">
        <f>IF(ISNUMBER(G16/B16),G16/B16," - ")</f>
        <v>180</v>
      </c>
      <c r="I16" s="403">
        <f>IF(ISNUMBER(IF(D_I="SI",Datos!L16,Datos!L16+Datos!AF16)),IF(D_I="SI",Datos!L16,Datos!L16+Datos!AF16)," - ")</f>
        <v>144</v>
      </c>
      <c r="J16" s="404">
        <f>IF(ISNUMBER(I16/B16),I16/B16," - ")</f>
        <v>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170</v>
      </c>
      <c r="F18" s="850">
        <f>IF(ISNUMBER(E18/B18),E18/B18," - ")</f>
        <v>170</v>
      </c>
      <c r="G18" s="849">
        <f>SUBTOTAL(9,G14:G17)</f>
        <v>184</v>
      </c>
      <c r="H18" s="850">
        <f>IF(ISNUMBER(G18/B18),G18/B18," - ")</f>
        <v>184</v>
      </c>
      <c r="I18" s="849">
        <f>SUBTOTAL(9,I14:I17)</f>
        <v>146</v>
      </c>
      <c r="J18" s="850">
        <f>IF(ISNUMBER(I18/B18),I18/B18," - ")</f>
        <v>146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382</v>
      </c>
      <c r="D19" s="795" t="str">
        <f>IF(ISNUMBER(C19/Datos!BI19),C19/Datos!BI19," - ")</f>
        <v xml:space="preserve"> - </v>
      </c>
      <c r="E19" s="794">
        <f>SUBTOTAL(9,E9:E18)</f>
        <v>270</v>
      </c>
      <c r="F19" s="795">
        <f>IF(ISNUMBER(E19/B19),E19/B19," - ")</f>
        <v>270</v>
      </c>
      <c r="G19" s="794">
        <f>SUBTOTAL(9,G9:G18)</f>
        <v>250</v>
      </c>
      <c r="H19" s="795">
        <f>IF(ISNUMBER(G19/B19),G19/B19," - ")</f>
        <v>250</v>
      </c>
      <c r="I19" s="794">
        <f>SUBTOTAL(9,I9:I18)</f>
        <v>405</v>
      </c>
      <c r="J19" s="795">
        <f>IF(ISNUMBER(I19/B19),I19/B19," - ")</f>
        <v>405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knWt7g7WUBw8TUEPCNJ69tQeXZTB//ppQ9Y7cmcy8VlRrBaBo3xZEK5YYNev6uLmW5aRSZtu/WhqKB89TkUgA==" saltValue="Vipu5ZKKQkTxiJOP9ZHv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DEL NARCEA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pIdnQjDRaI1M+TiQAnIGIXz4wnSU9HYhUwh/YEttfJtUfzabbFTq6wIQS5xBx6/Tyonz1gn3xmjRX+LP0sQig==" saltValue="Ah/1kwyfFsBnSDJ+BaLT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DEL NARCEA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33</v>
      </c>
      <c r="G12" s="404">
        <f t="shared" si="1"/>
        <v>33</v>
      </c>
      <c r="H12" s="403">
        <f>IF(ISNUMBER(Datos!O12),Datos!O12," - ")</f>
        <v>12</v>
      </c>
      <c r="I12" s="404">
        <f t="shared" si="2"/>
        <v>12</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33</v>
      </c>
      <c r="G13" s="850">
        <f t="shared" si="1"/>
        <v>33</v>
      </c>
      <c r="H13" s="849">
        <f>SUBTOTAL(9,H9:H12)</f>
        <v>12</v>
      </c>
      <c r="I13" s="850">
        <f>IF(ISNUMBER(H13/B13),H13/B13," - ")</f>
        <v>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v>
      </c>
      <c r="E16" s="404">
        <f t="shared" si="3"/>
        <v>5</v>
      </c>
      <c r="F16" s="403">
        <f>IF(ISNUMBER(Datos!N16),Datos!N16," - ")</f>
        <v>145</v>
      </c>
      <c r="G16" s="404">
        <f t="shared" si="4"/>
        <v>145</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v>
      </c>
      <c r="E18" s="850">
        <f t="shared" si="3"/>
        <v>5</v>
      </c>
      <c r="F18" s="849">
        <f>SUBTOTAL(9,F15:F17)</f>
        <v>148</v>
      </c>
      <c r="G18" s="850">
        <f t="shared" si="4"/>
        <v>148</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21</v>
      </c>
      <c r="E19" s="795">
        <f>IF(ISNUMBER(D19/B19),D19/B19," - ")</f>
        <v>21</v>
      </c>
      <c r="F19" s="794">
        <f>SUBTOTAL(9,F8:F18)</f>
        <v>181</v>
      </c>
      <c r="G19" s="795">
        <f>IF(ISNUMBER(F19/B19),F19/B19," - ")</f>
        <v>181</v>
      </c>
      <c r="H19" s="794">
        <f>SUBTOTAL(9,H8:H18)</f>
        <v>15</v>
      </c>
      <c r="I19" s="795">
        <f>IF(ISNUMBER(H19/B19),H19/B19," - ")</f>
        <v>15</v>
      </c>
    </row>
    <row r="22" spans="1:78">
      <c r="A22" s="391" t="str">
        <f>Criterios!A4</f>
        <v>Fecha Informe: 29 nov. 2024</v>
      </c>
    </row>
    <row r="27" spans="1:78">
      <c r="A27" s="414"/>
    </row>
  </sheetData>
  <sheetProtection algorithmName="SHA-512" hashValue="HX6FIyCfdCsrGfPWhWaW/sAvWrhO4Bo1iSurl0yWIlunvCoHbrCUs9DHXo1L19hYtOWLQLO+m23NrYDs+pQWRQ==" saltValue="woPms5/SpBADaEUxVHhg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DEL NARCEA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v>
      </c>
      <c r="C12" s="434">
        <f>IF(ISNUMBER(Datos!Q12),Datos!Q12," - ")</f>
        <v>8</v>
      </c>
      <c r="D12" s="408">
        <f>IF(ISNUMBER(Datos!R12),Datos!R12," - ")</f>
        <v>452</v>
      </c>
    </row>
    <row r="13" spans="1:4" ht="14.25" thickTop="1" thickBot="1">
      <c r="A13" s="848" t="str">
        <f>Datos!A13</f>
        <v>TOTAL</v>
      </c>
      <c r="B13" s="849">
        <f>SUBTOTAL(9,B9:B12)</f>
        <v>18</v>
      </c>
      <c r="C13" s="853">
        <f>SUBTOTAL(9,C9:C12)</f>
        <v>8</v>
      </c>
      <c r="D13" s="851">
        <f>SUBTOTAL(9,D9:D12)</f>
        <v>452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16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16</v>
      </c>
    </row>
    <row r="19" spans="1:4" ht="16.5" customHeight="1" thickTop="1" thickBot="1">
      <c r="A19" s="793" t="str">
        <f>Datos!A19</f>
        <v>TOTAL JURISDICCIONES</v>
      </c>
      <c r="B19" s="798">
        <f>SUBTOTAL(9,B8:B18)</f>
        <v>19</v>
      </c>
      <c r="C19" s="799">
        <f>SUBTOTAL(9,C8:C18)</f>
        <v>11</v>
      </c>
      <c r="D19" s="800">
        <f>SUBTOTAL(9,D8:D18)</f>
        <v>468</v>
      </c>
    </row>
    <row r="20" spans="1:4" ht="7.5" customHeight="1"/>
    <row r="21" spans="1:4" ht="6" customHeight="1"/>
    <row r="22" spans="1:4">
      <c r="A22" s="391" t="str">
        <f>Criterios!A4</f>
        <v>Fecha Informe: 29 nov. 2024</v>
      </c>
    </row>
    <row r="27" spans="1:4">
      <c r="A27" s="414"/>
    </row>
  </sheetData>
  <sheetProtection algorithmName="SHA-512" hashValue="dOQOQdKL+Ye9G3K/OiIJnbBw3XUAM3+P7X8YO9EiSzClXxyubt3m5xqTeMGE/cMCFOdTC6RugN6D7MxrKs//AA==" saltValue="32BAFePMFU07T7TF73nD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DEL NARCEA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0.2832369942196532</v>
      </c>
      <c r="C12" s="456">
        <f>IF(ISNUMBER(
   IF(J_V="SI",(Datos!J12-Datos!T12)/Datos!T12,(Datos!J12+Datos!Z12-(Datos!T12+Datos!AH12))/(Datos!T12+Datos!AH12))
     ),IF(J_V="SI",(Datos!J12-Datos!T12)/Datos!T12,(Datos!J12+Datos!Z12-(Datos!T12+Datos!AH12))/(Datos!T12+Datos!AH12))," - ")</f>
        <v>-0.11009174311926606</v>
      </c>
      <c r="D12" s="456">
        <f>IF(ISNUMBER(
   IF(J_V="SI",(Datos!K12-Datos!U12)/Datos!U12,(Datos!K12+Datos!AA12-(Datos!U12+Datos!AI12))/(Datos!U12+Datos!AI12))
     ),IF(J_V="SI",(Datos!K12-Datos!U12)/Datos!U12,(Datos!K12+Datos!AA12-(Datos!U12+Datos!AI12))/(Datos!U12+Datos!AI12))," - ")</f>
        <v>-0.11267605633802817</v>
      </c>
      <c r="E12" s="456">
        <f>IF(ISNUMBER(
   IF(J_V="SI",(Datos!L12-Datos!V12)/Datos!V12,(Datos!L12+Datos!AB12-(Datos!V12+Datos!AJ12))/(Datos!V12+Datos!AJ12))
     ),IF(J_V="SI",(Datos!L12-Datos!V12)/Datos!V12,(Datos!L12+Datos!AB12-(Datos!V12+Datos!AJ12))/(Datos!V12+Datos!AJ12))," - ")</f>
        <v>0.2132701421800948</v>
      </c>
      <c r="F12" s="456">
        <f>IF(ISNUMBER((Datos!M12-Datos!W12)/Datos!W12),(Datos!M12-Datos!W12)/Datos!W12," - ")</f>
        <v>-0.1111111111111111</v>
      </c>
      <c r="G12" s="457">
        <f>IF(ISNUMBER((Datos!N12-Datos!X12)/Datos!X12),(Datos!N12-Datos!X12)/Datos!X12," - ")</f>
        <v>0.1</v>
      </c>
      <c r="H12" s="455">
        <f>IF(ISNUMBER(((NºAsuntos!G12/NºAsuntos!E12)-Datos!BD12)/Datos!BD12),((NºAsuntos!G12/NºAsuntos!E12)-Datos!BD12)/Datos!BD12," - ")</f>
        <v>-2.9040220705676698E-3</v>
      </c>
      <c r="I12" s="456">
        <f>IF(ISNUMBER(((NºAsuntos!I12/NºAsuntos!G12)-Datos!BE12)/Datos!BE12),((NºAsuntos!I12/NºAsuntos!G12)-Datos!BE12)/Datos!BE12," - ")</f>
        <v>0.36733619198074163</v>
      </c>
      <c r="J12" s="461">
        <f>IF(ISNUMBER((('Resol  Asuntos'!D12/NºAsuntos!G12)-Datos!BF12)/Datos!BF12),(('Resol  Asuntos'!D12/NºAsuntos!G12)-Datos!BF12)/Datos!BF12," - ")</f>
        <v>-0.39894179894179899</v>
      </c>
      <c r="K12" s="462">
        <f>IF(ISNUMBER((((NºAsuntos!C12+NºAsuntos!E12)/NºAsuntos!G12)-Datos!BG12)/Datos!BG12),(((NºAsuntos!C12+NºAsuntos!E12)/NºAsuntos!G12)-Datos!BG12)/Datos!BG12," - ")</f>
        <v>0.27485083868062582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0.30057803468208094</v>
      </c>
      <c r="C13" s="855">
        <f>IF(ISNUMBER(
   IF(J_V="SI",(Datos!J13-Datos!T13)/Datos!T13,(Datos!J13+Datos!Z13-(Datos!T13+Datos!AH13))/(Datos!T13+Datos!AH13))
     ),IF(J_V="SI",(Datos!J13-Datos!T13)/Datos!T13,(Datos!J13+Datos!Z13-(Datos!T13+Datos!AH13))/(Datos!T13+Datos!AH13))," - ")</f>
        <v>-8.2568807339449546E-2</v>
      </c>
      <c r="D13" s="855">
        <f>IF(ISNUMBER(
   IF(J_V="SI",(Datos!K13-Datos!U13)/Datos!U13,(Datos!K13+Datos!AA13-(Datos!U13+Datos!AI13))/(Datos!U13+Datos!AI13))
     ),IF(J_V="SI",(Datos!K13-Datos!U13)/Datos!U13,(Datos!K13+Datos!AA13-(Datos!U13+Datos!AI13))/(Datos!U13+Datos!AI13))," - ")</f>
        <v>-7.0422535211267609E-2</v>
      </c>
      <c r="E13" s="855">
        <f>IF(ISNUMBER(
   IF(J_V="SI",(Datos!L13-Datos!V13)/Datos!V13,(Datos!L13+Datos!AB13-(Datos!V13+Datos!AJ13))/(Datos!V13+Datos!AJ13))
     ),IF(J_V="SI",(Datos!L13-Datos!V13)/Datos!V13,(Datos!L13+Datos!AB13-(Datos!V13+Datos!AJ13))/(Datos!V13+Datos!AJ13))," - ")</f>
        <v>0.22748815165876776</v>
      </c>
      <c r="F13" s="856">
        <f>IF(ISNUMBER((Datos!M13-Datos!W13)/Datos!W13),(Datos!M13-Datos!W13)/Datos!W13," - ")</f>
        <v>-0.1111111111111111</v>
      </c>
      <c r="G13" s="857">
        <f>IF(ISNUMBER((Datos!N13-Datos!X13)/Datos!X13),(Datos!N13-Datos!X13)/Datos!X13," - ")</f>
        <v>0.1</v>
      </c>
      <c r="H13" s="857">
        <f>IF(ISNUMBER(((NºAsuntos!G13/NºAsuntos!E13)-Datos!BD13)/Datos!BD13),((NºAsuntos!G13/NºAsuntos!E13)-Datos!BD13)/Datos!BD13," - ")</f>
        <v>1.3239436619718388E-2</v>
      </c>
      <c r="I13" s="857">
        <f>IF(ISNUMBER(((NºAsuntos!I13/NºAsuntos!G13)-Datos!BE13)/Datos!BE13),((NºAsuntos!I13/NºAsuntos!G13)-Datos!BE13)/Datos!BE13," - ")</f>
        <v>0.32047967829958351</v>
      </c>
      <c r="J13" s="857">
        <f>IF(ISNUMBER((('Resol  Asuntos'!D13/NºAsuntos!G13)-Datos!BF13)/Datos!BF13),(('Resol  Asuntos'!D13/NºAsuntos!G13)-Datos!BF13)/Datos!BF13," - ")</f>
        <v>-0.42626262626262623</v>
      </c>
      <c r="K13" s="857">
        <f>IF(ISNUMBER((((NºAsuntos!C13+NºAsuntos!E13)/NºAsuntos!G13)-Datos!BG13)/Datos!BG13),(((NºAsuntos!C13+NºAsuntos!E13)/NºAsuntos!G13)-Datos!BG13)/Datos!BG13," - ")</f>
        <v>0.23979153234472372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-7.1428571428571425E-2</v>
      </c>
      <c r="C16" s="456">
        <f>IF(ISNUMBER(
   IF(D_I="SI",(Datos!J16-Datos!T16)/Datos!T16,(Datos!J16+Datos!AD16-(Datos!T16+Datos!AL16))/(Datos!T16+Datos!AL16))
     ),IF(D_I="SI",(Datos!J16-Datos!T16)/Datos!T16,(Datos!J16+Datos!AD16-(Datos!T16+Datos!AL16))/(Datos!T16+Datos!AL16))," - ")</f>
        <v>-9.8360655737704916E-2</v>
      </c>
      <c r="D16" s="456">
        <f>IF(ISNUMBER(
   IF(D_I="SI",(Datos!K16-Datos!U16)/Datos!U16,(Datos!K16+Datos!AE16-(Datos!U16+Datos!AM16))/(Datos!U16+Datos!AM16))
     ),IF(D_I="SI",(Datos!K16-Datos!U16)/Datos!U16,(Datos!K16+Datos!AE16-(Datos!U16+Datos!AM16))/(Datos!U16+Datos!AM16))," - ")</f>
        <v>3.4482758620689655E-2</v>
      </c>
      <c r="E16" s="456">
        <f>IF(ISNUMBER(
   IF(D_I="SI",(Datos!L16-Datos!V16)/Datos!V16,(Datos!L16+Datos!AF16-(Datos!V16+Datos!AN16))/(Datos!V16+Datos!AN16))
     ),IF(D_I="SI",(Datos!L16-Datos!V16)/Datos!V16,(Datos!L16+Datos!AF16-(Datos!V16+Datos!AN16))/(Datos!V16+Datos!AN16))," - ")</f>
        <v>-0.1864406779661017</v>
      </c>
      <c r="F16" s="456">
        <f>IF(ISNUMBER((Datos!M16-Datos!W16)/Datos!W16),(Datos!M16-Datos!W16)/Datos!W16," - ")</f>
        <v>-0.58333333333333337</v>
      </c>
      <c r="G16" s="457">
        <f>IF(ISNUMBER((Datos!N16-Datos!X16)/Datos!X16),(Datos!N16-Datos!X16)/Datos!X16," - ")</f>
        <v>-6.8493150684931503E-3</v>
      </c>
      <c r="H16" s="455">
        <f>IF(ISNUMBER(((NºAsuntos!G16/NºAsuntos!E16)-Datos!BD16)/Datos!BD16),((NºAsuntos!G16/NºAsuntos!E16)-Datos!BD16)/Datos!BD16," - ")</f>
        <v>0.14733542319749215</v>
      </c>
      <c r="I16" s="456">
        <f>IF(ISNUMBER(((NºAsuntos!I16/NºAsuntos!G16)-Datos!BE16)/Datos!BE16),((NºAsuntos!I16/NºAsuntos!G16)-Datos!BE16)/Datos!BE16," - ")</f>
        <v>-0.21355932203389821</v>
      </c>
      <c r="J16" s="461">
        <f>IF(ISNUMBER((('Resol  Asuntos'!D16/NºAsuntos!G16)-Datos!BF16)/Datos!BF16),(('Resol  Asuntos'!D16/NºAsuntos!G16)-Datos!BF16)/Datos!BF16," - ")</f>
        <v>-0.59722222222222221</v>
      </c>
      <c r="K16" s="462">
        <f>IF(ISNUMBER((((NºAsuntos!C16+NºAsuntos!E16)/NºAsuntos!G16)-Datos!BG16)/Datos!BG16),(((NºAsuntos!C16+NºAsuntos!E16)/NºAsuntos!G16)-Datos!BG16)/Datos!BG16," - ")</f>
        <v>-0.11595441595441587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-0.54545454545454541</v>
      </c>
      <c r="D17" s="456">
        <f>IF(ISNUMBER(
   IF(D_I="SI",(Datos!K17-Datos!U17)/Datos!U17,(Datos!K17+Datos!AE17-(Datos!U17+Datos!AM17))/(Datos!U17+Datos!AM17))
     ),IF(D_I="SI",(Datos!K17-Datos!U17)/Datos!U17,(Datos!K17+Datos!AE17-(Datos!U17+Datos!AM17))/(Datos!U17+Datos!AM17))," - ")</f>
        <v>-0.55555555555555558</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-1</v>
      </c>
      <c r="G17" s="457">
        <f>IF(ISNUMBER((Datos!N17-Datos!X17)/Datos!X17),(Datos!N17-Datos!X17)/Datos!X17," - ")</f>
        <v>-0.625</v>
      </c>
      <c r="H17" s="455">
        <f>IF(ISNUMBER(((NºAsuntos!G17/NºAsuntos!E17)-Datos!BD17)/Datos!BD17),((NºAsuntos!G17/NºAsuntos!E17)-Datos!BD17)/Datos!BD17," - ")</f>
        <v>-2.2222222222222227E-2</v>
      </c>
      <c r="I17" s="456">
        <f>IF(ISNUMBER(((NºAsuntos!I17/NºAsuntos!G17)-Datos!BE17)/Datos!BE17),((NºAsuntos!I17/NºAsuntos!G17)-Datos!BE17)/Datos!BE17," - ")</f>
        <v>0.50000000000000011</v>
      </c>
      <c r="J17" s="461">
        <f>IF(ISNUMBER((('Resol  Asuntos'!D17/NºAsuntos!G17)-Datos!BF17)/Datos!BF17),(('Resol  Asuntos'!D17/NºAsuntos!G17)-Datos!BF17)/Datos!BF17," - ")</f>
        <v>-1</v>
      </c>
      <c r="K17" s="462">
        <f>IF(ISNUMBER((((NºAsuntos!C17+NºAsuntos!E17)/NºAsuntos!G17)-Datos!BG17)/Datos!BG17),(((NºAsuntos!C17+NºAsuntos!E17)/NºAsuntos!G17)-Datos!BG17)/Datos!BG17," - ")</f>
        <v>0.12500000000000006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-7.1005917159763315E-2</v>
      </c>
      <c r="C18" s="855">
        <f>IF(ISNUMBER(
   IF(Criterios!B14="SI",(Datos!J18-Datos!T18)/Datos!T18,(Datos!J18+Datos!AD18-(Datos!T18+Datos!AL18))/(Datos!T18+Datos!AL18))
     ),IF(Criterios!B14="SI",(Datos!J18-Datos!T18)/Datos!T18,(Datos!J18+Datos!AD18-(Datos!T18+Datos!AL18))/(Datos!T18+Datos!AL18))," - ")</f>
        <v>-0.12371134020618557</v>
      </c>
      <c r="D18" s="855">
        <f>IF(ISNUMBER(
   IF(Criterios!B14="SI",(Datos!K18-Datos!U18)/Datos!U18,(Datos!K18+Datos!AE18-(Datos!U18+Datos!AM18))/(Datos!U18+Datos!AM18))
     ),IF(Criterios!B14="SI",(Datos!K18-Datos!U18)/Datos!U18,(Datos!K18+Datos!AE18-(Datos!U18+Datos!AM18))/(Datos!U18+Datos!AM18))," - ")</f>
        <v>5.4644808743169399E-3</v>
      </c>
      <c r="E18" s="855">
        <f>IF(ISNUMBER(
   IF(Criterios!B14="SI",(Datos!L18-Datos!V18)/Datos!V18,(Datos!L18+Datos!AF18-(Datos!V18+Datos!AN18))/(Datos!V18+Datos!AN18))
     ),IF(Criterios!B14="SI",(Datos!L18-Datos!V18)/Datos!V18,(Datos!L18+Datos!AF18-(Datos!V18+Datos!AN18))/(Datos!V18+Datos!AN18))," - ")</f>
        <v>-0.18888888888888888</v>
      </c>
      <c r="F18" s="856">
        <f>IF(ISNUMBER((Datos!M18-Datos!W18)/Datos!W18),(Datos!M18-Datos!W18)/Datos!W18," - ")</f>
        <v>-0.6428571428571429</v>
      </c>
      <c r="G18" s="857">
        <f>IF(ISNUMBER((Datos!N18-Datos!X18)/Datos!X18),(Datos!N18-Datos!X18)/Datos!X18," - ")</f>
        <v>-3.896103896103896E-2</v>
      </c>
      <c r="H18" s="857">
        <f>IF(ISNUMBER(((NºAsuntos!G18/NºAsuntos!E18)-Datos!BD18)/Datos!BD18),((NºAsuntos!G18/NºAsuntos!E18)-Datos!BD18)/Datos!BD18," - ")</f>
        <v>0.14741240758598517</v>
      </c>
      <c r="I18" s="857">
        <f>IF(ISNUMBER(((NºAsuntos!I18/NºAsuntos!G18)-Datos!BE18)/Datos!BE18),((NºAsuntos!I18/NºAsuntos!G18)-Datos!BE18)/Datos!BE18," - ")</f>
        <v>-0.19329710144927537</v>
      </c>
      <c r="J18" s="857">
        <f>IF(ISNUMBER((('Resol  Asuntos'!D18/NºAsuntos!G18)-Datos!BF18)/Datos!BF18),(('Resol  Asuntos'!D18/NºAsuntos!G18)-Datos!BF18)/Datos!BF18," - ")</f>
        <v>-0.64479813664596275</v>
      </c>
      <c r="K18" s="857">
        <f>IF(ISNUMBER((((NºAsuntos!C18+NºAsuntos!E18)/NºAsuntos!G18)-Datos!BG18)/Datos!BG18),(((NºAsuntos!C18+NºAsuntos!E18)/NºAsuntos!G18)-Datos!BG18)/Datos!BG18," - ")</f>
        <v>-0.10406934962270929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0.11695906432748537</v>
      </c>
      <c r="C19" s="802">
        <f>IF(ISNUMBER(
   IF(J_V="SI",(Datos!J19-Datos!T19)/Datos!T19,(Datos!J19+Datos!Z19-(Datos!T19+Datos!AH19))/(Datos!T19+Datos!AH19))
     ),IF(J_V="SI",(Datos!J19-Datos!T19)/Datos!T19,(Datos!J19+Datos!Z19-(Datos!T19+Datos!AH19))/(Datos!T19+Datos!AH19))," - ")</f>
        <v>-0.10891089108910891</v>
      </c>
      <c r="D19" s="802">
        <f>IF(ISNUMBER(
   IF(J_V="SI",(Datos!K19-Datos!U19)/Datos!U19,(Datos!K19+Datos!AA19-(Datos!U19+Datos!AI19))/(Datos!U19+Datos!AI19))
     ),IF(J_V="SI",(Datos!K19-Datos!U19)/Datos!U19,(Datos!K19+Datos!AA19-(Datos!U19+Datos!AI19))/(Datos!U19+Datos!AI19))," - ")</f>
        <v>-1.5748031496062992E-2</v>
      </c>
      <c r="E19" s="802">
        <f>IF(ISNUMBER(
   IF(J_V="SI",(Datos!L19-Datos!V19)/Datos!V19,(Datos!L19+Datos!AB19-(Datos!V19+Datos!AJ19))/(Datos!V19+Datos!AJ19))
     ),IF(J_V="SI",(Datos!L19-Datos!V19)/Datos!V19,(Datos!L19+Datos!AB19-(Datos!V19+Datos!AJ19))/(Datos!V19+Datos!AJ19))," - ")</f>
        <v>3.5805626598465472E-2</v>
      </c>
      <c r="F19" s="803">
        <f>IF(ISNUMBER((Datos!M19-Datos!W19)/Datos!W19),(Datos!M19-Datos!W19)/Datos!W19," - ")</f>
        <v>-0.34375</v>
      </c>
      <c r="G19" s="804">
        <f>IF(ISNUMBER((Datos!N19-Datos!X19)/Datos!X19),(Datos!N19-Datos!X19)/Datos!X19," - ")</f>
        <v>-1.6304347826086956E-2</v>
      </c>
      <c r="H19" s="805">
        <f>IF(ISNUMBER((Tasas!B19-Datos!BD19)/Datos!BD19),(Tasas!B19-Datos!BD19)/Datos!BD19," - ")</f>
        <v>0.10454943132108481</v>
      </c>
      <c r="I19" s="806">
        <f>IF(ISNUMBER((Tasas!C19-Datos!BE19)/Datos!BE19),(Tasas!C19-Datos!BE19)/Datos!BE19," - ")</f>
        <v>5.2378516624041041E-2</v>
      </c>
      <c r="J19" s="807">
        <f>IF(ISNUMBER((Tasas!D19-Datos!BF19)/Datos!BF19),(Tasas!D19-Datos!BF19)/Datos!BF19," - ")</f>
        <v>-0.51509090909090904</v>
      </c>
      <c r="K19" s="807">
        <f>IF(ISNUMBER((Tasas!E19-Datos!BG19)/Datos!BG19),(Tasas!E19-Datos!BG19)/Datos!BG19," - ")</f>
        <v>2.7026356589147354E-2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mmCUpH6+Xm0jqa5vAS0eXiX0Ck3TFNWwAKU72hHdWA8A/CdFwPBqTyQ7+1nl6WzTl7usqZPUoa/w4bLWrYNlw==" saltValue="93dA4SjbYXsJeB3miSwE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DEL NARCEA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0.64948453608247425</v>
      </c>
      <c r="C12" s="443">
        <f>IF(ISNUMBER(NºAsuntos!I12/NºAsuntos!G12),NºAsuntos!I12/NºAsuntos!G12," - ")</f>
        <v>4.0634920634920633</v>
      </c>
      <c r="D12" s="444">
        <f>IF(ISNUMBER('Resol  Asuntos'!D12/NºAsuntos!G12),'Resol  Asuntos'!D12/NºAsuntos!G12," - ")</f>
        <v>0.25396825396825395</v>
      </c>
      <c r="E12" s="445">
        <f>IF(ISNUMBER((NºAsuntos!C12+NºAsuntos!E12)/NºAsuntos!G12),(NºAsuntos!C12+NºAsuntos!E12)/NºAsuntos!G12," - ")</f>
        <v>5.0634920634920633</v>
      </c>
      <c r="G12" s="463"/>
    </row>
    <row r="13" spans="1:7" ht="14.25" thickTop="1" thickBot="1">
      <c r="A13" s="848" t="str">
        <f>Datos!A13</f>
        <v>TOTAL</v>
      </c>
      <c r="B13" s="858">
        <f>IF(ISNUMBER(NºAsuntos!G13/NºAsuntos!E13),NºAsuntos!G13/NºAsuntos!E13," - ")</f>
        <v>0.66</v>
      </c>
      <c r="C13" s="859">
        <f>IF(ISNUMBER(NºAsuntos!I13/NºAsuntos!G13),NºAsuntos!I13/NºAsuntos!G13," - ")</f>
        <v>3.9242424242424243</v>
      </c>
      <c r="D13" s="860">
        <f>IF(ISNUMBER('Resol  Asuntos'!D13/NºAsuntos!G13),'Resol  Asuntos'!D13/NºAsuntos!G13," - ")</f>
        <v>0.24242424242424243</v>
      </c>
      <c r="E13" s="861">
        <f>IF(ISNUMBER((NºAsuntos!C13+NºAsuntos!E13)/NºAsuntos!G13),(NºAsuntos!C13+NºAsuntos!E13)/NºAsuntos!G13," - ")</f>
        <v>4.9242424242424239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1.0909090909090908</v>
      </c>
      <c r="C16" s="443">
        <f>IF(ISNUMBER(NºAsuntos!I16/NºAsuntos!G16),NºAsuntos!I16/NºAsuntos!G16," - ")</f>
        <v>0.8</v>
      </c>
      <c r="D16" s="444">
        <f>IF(ISNUMBER('Resol  Asuntos'!D16/NºAsuntos!G16),'Resol  Asuntos'!D16/NºAsuntos!G16," - ")</f>
        <v>2.7777777777777776E-2</v>
      </c>
      <c r="E16" s="445">
        <f>IF(ISNUMBER((NºAsuntos!C16+NºAsuntos!E16)/NºAsuntos!G16),(NºAsuntos!C16+NºAsuntos!E16)/NºAsuntos!G16," - ")</f>
        <v>1.7833333333333334</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0.5</v>
      </c>
      <c r="D17" s="444">
        <f>IF(ISNUMBER('Resol  Asuntos'!D17/NºAsuntos!G17),'Resol  Asuntos'!D17/NºAsuntos!G17," - ")</f>
        <v>0</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1.0823529411764705</v>
      </c>
      <c r="C18" s="859">
        <f>IF(ISNUMBER(NºAsuntos!I18/NºAsuntos!G18),NºAsuntos!I18/NºAsuntos!G18," - ")</f>
        <v>0.79347826086956519</v>
      </c>
      <c r="D18" s="862">
        <f>IF(ISNUMBER('Resol  Asuntos'!D18/NºAsuntos!G18),'Resol  Asuntos'!D18/NºAsuntos!G18," - ")</f>
        <v>2.717391304347826E-2</v>
      </c>
      <c r="E18" s="861">
        <f>IF(ISNUMBER((NºAsuntos!C18+NºAsuntos!E18)/NºAsuntos!G18),(NºAsuntos!C18+NºAsuntos!E18)/NºAsuntos!G18," - ")</f>
        <v>1.7771739130434783</v>
      </c>
      <c r="G18" s="463"/>
    </row>
    <row r="19" spans="1:7" ht="15.75" customHeight="1" thickTop="1" thickBot="1">
      <c r="A19" s="793" t="str">
        <f>Datos!A19</f>
        <v>TOTAL JURISDICCIONES</v>
      </c>
      <c r="B19" s="808">
        <f>IF(ISNUMBER(NºAsuntos!G19/NºAsuntos!E19),NºAsuntos!G19/NºAsuntos!E19," - ")</f>
        <v>0.92592592592592593</v>
      </c>
      <c r="C19" s="809">
        <f>IF(ISNUMBER(NºAsuntos!I19/NºAsuntos!G19),NºAsuntos!I19/NºAsuntos!G19," - ")</f>
        <v>1.62</v>
      </c>
      <c r="D19" s="810">
        <f>IF(ISNUMBER('Resol  Asuntos'!D19/NºAsuntos!G19),'Resol  Asuntos'!D19/NºAsuntos!G19," - ")</f>
        <v>8.4000000000000005E-2</v>
      </c>
      <c r="E19" s="811">
        <f>IF(ISNUMBER((NºAsuntos!C19+NºAsuntos!E19)/NºAsuntos!G19),(NºAsuntos!C19+NºAsuntos!E19)/NºAsuntos!G19," - ")</f>
        <v>2.6080000000000001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t00CrmxlyLHmaZM4MU98yOOMFxF2DIq+9lp6cUIgeeX/lVWG/l7sSSfqjD5GmBPEINfDyvQ1NxgBA3Z8sCcxA==" saltValue="2mShvzcfLty3mEEwIMMI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DEL NARCEA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0.64948453608247425</v>
      </c>
      <c r="AM12" s="260">
        <f>IF(ISNUMBER(((NºAsuntos!I12/NºAsuntos!G12)*11)/factor_trimestre),((NºAsuntos!I12/NºAsuntos!G12)*11)/factor_trimestre," - ")</f>
        <v>8.1269841269841265</v>
      </c>
      <c r="AN12" s="244">
        <f>IF(ISNUMBER('Resol  Asuntos'!D12/NºAsuntos!G12),'Resol  Asuntos'!D12/NºAsuntos!G12," - ")</f>
        <v>0.25396825396825395</v>
      </c>
      <c r="AO12" s="245">
        <f>IF(ISNUMBER((NºAsuntos!C12+NºAsuntos!E12)/NºAsuntos!G12),(NºAsuntos!C12+NºAsuntos!E12)/NºAsuntos!G12," - ")</f>
        <v>5.0634920634920633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8</v>
      </c>
      <c r="Y13" s="868">
        <f t="shared" si="4"/>
        <v>11</v>
      </c>
      <c r="Z13" s="868">
        <f t="shared" si="4"/>
        <v>0</v>
      </c>
      <c r="AA13" s="868">
        <f t="shared" si="4"/>
        <v>3</v>
      </c>
      <c r="AB13" s="868">
        <f t="shared" si="4"/>
        <v>452</v>
      </c>
      <c r="AC13" s="868">
        <f t="shared" si="4"/>
        <v>3</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0.66</v>
      </c>
      <c r="AM13" s="874">
        <f>IF(ISNUMBER(((NºAsuntos!I13/NºAsuntos!G13)*11)/factor_trimestre),((NºAsuntos!I13/NºAsuntos!G13)*11)/factor_trimestre," - ")</f>
        <v>7.8484848484848477</v>
      </c>
      <c r="AN13" s="875">
        <f>IF(ISNUMBER('Resol  Asuntos'!D13/NºAsuntos!G13),'Resol  Asuntos'!D13/NºAsuntos!G13," - ")</f>
        <v>0.24242424242424243</v>
      </c>
      <c r="AO13" s="876">
        <f>IF(ISNUMBER((NºAsuntos!C13+NºAsuntos!E13)/NºAsuntos!G13),(NºAsuntos!C13+NºAsuntos!E13)/NºAsuntos!G13," - ")</f>
        <v>4.9242424242424239</v>
      </c>
      <c r="AP13" s="877" t="str">
        <f t="shared" si="2"/>
        <v xml:space="preserve"> - </v>
      </c>
      <c r="AQ13" s="877">
        <f>IF(ISNUMBER((H13-W13+K13)/(F13)),(H13-W13+K13)/(F13)," - ")</f>
        <v>-1</v>
      </c>
      <c r="AR13" s="878">
        <f>IF(ISNUMBER((Datos!P13-Datos!Q13)/(Datos!R13-Datos!P13+Datos!Q13)),(Datos!P13-Datos!Q13)/(Datos!R13-Datos!P13+Datos!Q13)," - ")</f>
        <v>2.2624434389140271E-2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159</v>
      </c>
      <c r="G16" s="333">
        <f>IF(ISNUMBER(IF(D_I="SI",Datos!I16,Datos!I16+Datos!AC16)),IF(D_I="SI",Datos!I16,Datos!I16+Datos!AC16)," - ")</f>
        <v>156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v>
      </c>
      <c r="X16" s="226">
        <f>IF(ISNUMBER(Datos!Q16),Datos!Q16," - ")</f>
        <v>3</v>
      </c>
      <c r="Y16" s="334">
        <f t="shared" ref="Y16:Y17" si="7">SUM(W16:X16)</f>
        <v>183</v>
      </c>
      <c r="Z16" s="335" t="str">
        <f>IF(ISNUMBER(Datos!CC16),Datos!CC16," - ")</f>
        <v xml:space="preserve"> - </v>
      </c>
      <c r="AA16" s="332">
        <f>IF(ISNUMBER(IF(D_I="SI",Datos!L16,Datos!L16+Datos!AF16)),IF(D_I="SI",Datos!L16,Datos!L16+Datos!AF16)," - ")</f>
        <v>144</v>
      </c>
      <c r="AB16" s="334">
        <f>IF(ISNUMBER(Datos!R16),Datos!R16," - ")</f>
        <v>16</v>
      </c>
      <c r="AC16" s="334">
        <f t="shared" si="6"/>
        <v>160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v>
      </c>
      <c r="AJ16" s="231" t="str">
        <f>IF(ISNUMBER(Datos!BW16),Datos!BW16," - ")</f>
        <v xml:space="preserve"> - </v>
      </c>
      <c r="AK16" s="232" t="str">
        <f>IF(ISNUMBER(Datos!BX16),Datos!BX16," - ")</f>
        <v xml:space="preserve"> - </v>
      </c>
      <c r="AL16" s="243">
        <f>IF(ISNUMBER(NºAsuntos!G16/NºAsuntos!E16),NºAsuntos!G16/NºAsuntos!E16," - ")</f>
        <v>1.0909090909090908</v>
      </c>
      <c r="AM16" s="260">
        <f>IF(ISNUMBER(((NºAsuntos!I16/NºAsuntos!G16)*11)/factor_trimestre),((NºAsuntos!I16/NºAsuntos!G16)*11)/factor_trimestre," - ")</f>
        <v>1.6</v>
      </c>
      <c r="AN16" s="244">
        <f>IF(ISNUMBER('Resol  Asuntos'!D16/NºAsuntos!G16),'Resol  Asuntos'!D16/NºAsuntos!G16," - ")</f>
        <v>2.7777777777777776E-2</v>
      </c>
      <c r="AO16" s="245">
        <f>IF(ISNUMBER((NºAsuntos!C16+NºAsuntos!E16)/NºAsuntos!G16),(NºAsuntos!C16+NºAsuntos!E16)/NºAsuntos!G16," - ")</f>
        <v>1.7833333333333334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1</v>
      </c>
      <c r="AN17" s="244">
        <f>IF(ISNUMBER('Resol  Asuntos'!D17/NºAsuntos!G17),'Resol  Asuntos'!D17/NºAsuntos!G17," - ")</f>
        <v>0</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159</v>
      </c>
      <c r="G18" s="866">
        <f>SUBTOTAL(9,G15:G17)</f>
        <v>157</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v>
      </c>
      <c r="X18" s="867">
        <f t="shared" si="11"/>
        <v>3</v>
      </c>
      <c r="Y18" s="868">
        <f t="shared" si="11"/>
        <v>187</v>
      </c>
      <c r="Z18" s="868">
        <f t="shared" si="11"/>
        <v>0</v>
      </c>
      <c r="AA18" s="868">
        <f t="shared" si="11"/>
        <v>146</v>
      </c>
      <c r="AB18" s="868">
        <f t="shared" si="11"/>
        <v>16</v>
      </c>
      <c r="AC18" s="868">
        <f t="shared" si="11"/>
        <v>162</v>
      </c>
      <c r="AD18" s="868">
        <f t="shared" si="11"/>
        <v>0</v>
      </c>
      <c r="AE18" s="872">
        <f t="shared" si="11"/>
        <v>0</v>
      </c>
      <c r="AF18" s="865">
        <f t="shared" si="11"/>
        <v>0</v>
      </c>
      <c r="AG18" s="873">
        <f t="shared" si="11"/>
        <v>0</v>
      </c>
      <c r="AH18" s="870">
        <f t="shared" si="11"/>
        <v>0</v>
      </c>
      <c r="AI18" s="865">
        <f t="shared" si="11"/>
        <v>5</v>
      </c>
      <c r="AJ18" s="867">
        <f t="shared" si="11"/>
        <v>0</v>
      </c>
      <c r="AK18" s="870">
        <f t="shared" si="11"/>
        <v>0</v>
      </c>
      <c r="AL18" s="874">
        <f>IF(ISNUMBER(NºAsuntos!G18/NºAsuntos!E18),NºAsuntos!G18/NºAsuntos!E18," - ")</f>
        <v>1.0823529411764705</v>
      </c>
      <c r="AM18" s="874">
        <f>IF(ISNUMBER(((NºAsuntos!I18/NºAsuntos!G18)*11)/factor_trimestre),((NºAsuntos!I18/NºAsuntos!G18)*11)/factor_trimestre," - ")</f>
        <v>1.5869565217391304</v>
      </c>
      <c r="AN18" s="875">
        <f>IF(ISNUMBER('Resol  Asuntos'!D18/NºAsuntos!G18),'Resol  Asuntos'!D18/NºAsuntos!G18," - ")</f>
        <v>2.717391304347826E-2</v>
      </c>
      <c r="AO18" s="876">
        <f>IF(ISNUMBER((NºAsuntos!C18+NºAsuntos!E18)/NºAsuntos!G18),(NºAsuntos!C18+NºAsuntos!E18)/NºAsuntos!G18," - ")</f>
        <v>1.7771739130434783</v>
      </c>
      <c r="AP18" s="877" t="str">
        <f t="shared" si="2"/>
        <v xml:space="preserve"> - </v>
      </c>
      <c r="AQ18" s="877">
        <f>IF(ISNUMBER((H18-W18+K18)/(F18)),(H18-W18+K18)/(F18)," - ")</f>
        <v>-1.1572327044025157</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162</v>
      </c>
      <c r="G19" s="821">
        <f t="shared" si="13"/>
        <v>160</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v>
      </c>
      <c r="X19" s="821">
        <f t="shared" si="14"/>
        <v>11</v>
      </c>
      <c r="Y19" s="828">
        <f t="shared" si="14"/>
        <v>198</v>
      </c>
      <c r="Z19" s="828">
        <f t="shared" si="14"/>
        <v>0</v>
      </c>
      <c r="AA19" s="828">
        <f t="shared" si="14"/>
        <v>149</v>
      </c>
      <c r="AB19" s="828">
        <f t="shared" si="14"/>
        <v>468</v>
      </c>
      <c r="AC19" s="828">
        <f t="shared" si="14"/>
        <v>165</v>
      </c>
      <c r="AD19" s="828">
        <f t="shared" si="14"/>
        <v>0</v>
      </c>
      <c r="AE19" s="830">
        <f t="shared" si="14"/>
        <v>0</v>
      </c>
      <c r="AF19" s="831">
        <f t="shared" si="14"/>
        <v>0</v>
      </c>
      <c r="AG19" s="832">
        <f t="shared" si="14"/>
        <v>0</v>
      </c>
      <c r="AH19" s="830">
        <f t="shared" si="14"/>
        <v>0</v>
      </c>
      <c r="AI19" s="820">
        <f t="shared" si="14"/>
        <v>21</v>
      </c>
      <c r="AJ19" s="820">
        <f t="shared" si="14"/>
        <v>0</v>
      </c>
      <c r="AK19" s="830">
        <f t="shared" si="14"/>
        <v>0</v>
      </c>
      <c r="AL19" s="884">
        <f>IF(ISNUMBER(NºAsuntos!G19/NºAsuntos!E19),NºAsuntos!G19/NºAsuntos!E19," - ")</f>
        <v>0.92592592592592593</v>
      </c>
      <c r="AM19" s="885">
        <f>IF(ISNUMBER(((NºAsuntos!I19/NºAsuntos!G19)*11)/factor_trimestre),((NºAsuntos!I19/NºAsuntos!G19)*11)/factor_trimestre," - ")</f>
        <v>3.24</v>
      </c>
      <c r="AN19" s="885">
        <f>IF(ISNUMBER('Resol  Asuntos'!D19/NºAsuntos!G19),'Resol  Asuntos'!D19/NºAsuntos!G19," - ")</f>
        <v>8.4000000000000005E-2</v>
      </c>
      <c r="AO19" s="886">
        <f>IF(ISNUMBER((NºAsuntos!C19+NºAsuntos!E19)/NºAsuntos!G19),(NºAsuntos!C19+NºAsuntos!E19)/NºAsuntos!G19," - ")</f>
        <v>2.6080000000000001</v>
      </c>
      <c r="AP19" s="887" t="str">
        <f t="shared" si="2"/>
        <v xml:space="preserve"> - </v>
      </c>
      <c r="AQ19" s="888">
        <f>IF(OR(ISNUMBER(FIND("01",Criterios!A8,1)),ISNUMBER(FIND("02",Criterios!A8,1)),ISNUMBER(FIND("03",Criterios!A8,1)),ISNUMBER(FIND("04",Criterios!A8,1))),(I19-W19+K19)/(F19-K19),(H19-W19+K19)/(F19-K19))</f>
        <v>-1.154320987654321</v>
      </c>
      <c r="AR19" s="889">
        <f>IF(ISNUMBER((Datos!P19-Datos!Q19)/(Datos!R19-Datos!P19+Datos!Q19)),(Datos!P19-Datos!Q19)/(Datos!R19-Datos!P19+Datos!Q19)," - ")</f>
        <v>1.7391304347826087E-2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90.066641993581612</v>
      </c>
      <c r="G21" s="253">
        <f>IF(ISNUMBER(STDEV(G8:G18)),STDEV(G8:G18),"-")</f>
        <v>84.445248534183378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97.870833244639343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7.3212020870892509</v>
      </c>
      <c r="AJ21" s="252">
        <f t="shared" si="18"/>
        <v>0</v>
      </c>
      <c r="AK21" s="254">
        <f t="shared" si="18"/>
        <v>0</v>
      </c>
      <c r="AL21" s="249">
        <f t="shared" si="18"/>
        <v>0.20384576486314135</v>
      </c>
      <c r="AM21" s="250">
        <f t="shared" si="18"/>
        <v>3.3425389281948097</v>
      </c>
      <c r="AN21" s="250">
        <f t="shared" si="18"/>
        <v>0.12175057428854451</v>
      </c>
      <c r="AO21" s="251">
        <f t="shared" si="18"/>
        <v>1.6754292497120669</v>
      </c>
      <c r="AP21" s="291" t="str">
        <f t="shared" si="18"/>
        <v>-</v>
      </c>
      <c r="AQ21" s="292">
        <f t="shared" si="18"/>
        <v>0.11118031150731877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ZxCtRvQTCkRbaRoIQJ4j666Rd5JFiy3dIucIeSLk38PFNNSzzvELt93mZCX0DgXK3gULr8xXVaFwVW1YfSJwA==" saltValue="r2/lmzDgna/jtH74qlmY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DEL NARCEA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0.36733619198074163</v>
      </c>
      <c r="J12" s="349">
        <f>IF(ISNUMBER((Tasas!D12-Datos!BF12)/Datos!BF12),(Tasas!D12-Datos!BF12)/Datos!BF12," - ")</f>
        <v>-0.39894179894179899</v>
      </c>
      <c r="K12" s="351">
        <f>IF(ISNUMBER((Tasas!E12-Datos!BG12)/Datos!BG12),(Tasas!E12-Datos!BG12)/Datos!BG12," - ")</f>
        <v>0.27485083868062582</v>
      </c>
      <c r="M12" t="e">
        <f>IF(Monitorios="SI",Datos!CE12,0)</f>
        <v>#REF!</v>
      </c>
      <c r="N12" t="e">
        <f>IF(Monitorios="SI",Datos!CF12,0)</f>
        <v>#REF!</v>
      </c>
      <c r="O12" t="e">
        <f>IF(Monitorios="SI",Datos!CG12,0)</f>
        <v>#REF!</v>
      </c>
      <c r="P12" t="e">
        <f>IF(Monitorios="SI",Datos!CH12,0)</f>
        <v>#REF!</v>
      </c>
      <c r="Q12">
        <f>IF(J_V="SI",0,Datos!AG12)</f>
        <v>11</v>
      </c>
      <c r="R12">
        <f>IF(J_V="SI",0,Datos!AH12)</f>
        <v>16</v>
      </c>
      <c r="S12">
        <f>IF(J_V="SI",0,Datos!AI12)</f>
        <v>14</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0.32047967829958351</v>
      </c>
      <c r="J13" s="355">
        <f>IF(ISNUMBER((Tasas!D13-Datos!BF13)/Datos!BF13),(Tasas!D13-Datos!BF13)/Datos!BF13," - ")</f>
        <v>-0.42626262626262623</v>
      </c>
      <c r="K13" s="358">
        <f>IF(ISNUMBER((Tasas!E13-Datos!BG13)/Datos!BG13),(Tasas!E13-Datos!BG13)/Datos!BG13," - ")</f>
        <v>0.23979153234472372</v>
      </c>
      <c r="M13" t="e">
        <f>IF(Monitorios="SI",Datos!CE13,0)</f>
        <v>#REF!</v>
      </c>
      <c r="N13" t="e">
        <f>IF(Monitorios="SI",Datos!CF13,0)</f>
        <v>#REF!</v>
      </c>
      <c r="O13" t="e">
        <f>IF(Monitorios="SI",Datos!CG13,0)</f>
        <v>#REF!</v>
      </c>
      <c r="P13" t="e">
        <f>IF(Monitorios="SI",Datos!CH13,0)</f>
        <v>#REF!</v>
      </c>
      <c r="Q13">
        <f>IF(J_V="SI",0,Datos!AG13)</f>
        <v>11</v>
      </c>
      <c r="R13">
        <f>IF(J_V="SI",0,Datos!AH13)</f>
        <v>16</v>
      </c>
      <c r="S13">
        <f>IF(J_V="SI",0,Datos!AI13)</f>
        <v>14</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-7.1428571428571425E-2</v>
      </c>
      <c r="E16" s="348">
        <f>IF(ISNUMBER(
   IF(D_I="SI",(Datos!J16-Datos!T16)/Datos!T16,(Datos!J16+Datos!AD16-(Datos!T16+Datos!AL16))/(Datos!T16+Datos!AL16))
     ),IF(D_I="SI",(Datos!J16-Datos!T16)/Datos!T16,(Datos!J16+Datos!AD16-(Datos!T16+Datos!AL16))/(Datos!T16+Datos!AL16))," - ")</f>
        <v>-9.8360655737704916E-2</v>
      </c>
      <c r="F16" s="348">
        <f>IF(ISNUMBER(
   IF(D_I="SI",(Datos!K16-Datos!U16)/Datos!U16,(Datos!K16+Datos!AE16-(Datos!U16+Datos!AM16))/(Datos!U16+Datos!AM16))
     ),IF(D_I="SI",(Datos!K16-Datos!U16)/Datos!U16,(Datos!K16+Datos!AE16-(Datos!U16+Datos!AM16))/(Datos!U16+Datos!AM16))," - ")</f>
        <v>3.4482758620689655E-2</v>
      </c>
      <c r="G16" s="349">
        <f>IF(ISNUMBER(
   IF(D_I="SI",(Datos!L16-Datos!V16)/Datos!V16,(Datos!L16+Datos!AF16-(Datos!V16+Datos!AN16))/(Datos!V16+Datos!AN16))
     ),IF(D_I="SI",(Datos!L16-Datos!V16)/Datos!V16,(Datos!L16+Datos!AF16-(Datos!V16+Datos!AN16))/(Datos!V16+Datos!AN16))," - ")</f>
        <v>-0.1864406779661017</v>
      </c>
      <c r="H16" s="230">
        <f>IF(ISNUMBER((Datos!M16-Datos!W16)/Datos!W16),(Datos!M16-Datos!W16)/Datos!W16," - ")</f>
        <v>-0.58333333333333337</v>
      </c>
      <c r="I16" s="350">
        <f>IF(ISNUMBER((Tasas!C16-Datos!BE16)/Datos!BE16),(Tasas!C16-Datos!BE16)/Datos!BE16," - ")</f>
        <v>-0.21355932203389821</v>
      </c>
      <c r="J16" s="349">
        <f>IF(ISNUMBER((Tasas!D16-Datos!BF16)/Datos!BF16),(Tasas!D16-Datos!BF16)/Datos!BF16," - ")</f>
        <v>-0.59722222222222221</v>
      </c>
      <c r="K16" s="351">
        <f>IF(ISNUMBER((Tasas!E16-Datos!BG16)/Datos!BG16),(Tasas!E16-Datos!BG16)/Datos!BG16," - ")</f>
        <v>-0.11595441595441587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-0.54545454545454541</v>
      </c>
      <c r="F17" s="348">
        <f>IF(ISNUMBER(
   IF(D_I="SI",(Datos!K17-Datos!U17)/Datos!U17,(Datos!K17+Datos!AE17-(Datos!U17+Datos!AM17))/(Datos!U17+Datos!AM17))
     ),IF(D_I="SI",(Datos!K17-Datos!U17)/Datos!U17,(Datos!K17+Datos!AE17-(Datos!U17+Datos!AM17))/(Datos!U17+Datos!AM17))," - ")</f>
        <v>-0.55555555555555558</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-1</v>
      </c>
      <c r="I17" s="350">
        <f>IF(ISNUMBER((Tasas!C17-Datos!BE17)/Datos!BE17),(Tasas!C17-Datos!BE17)/Datos!BE17," - ")</f>
        <v>0.50000000000000011</v>
      </c>
      <c r="J17" s="349">
        <f>IF(ISNUMBER((Tasas!D17-Datos!BF17)/Datos!BF17),(Tasas!D17-Datos!BF17)/Datos!BF17," - ")</f>
        <v>-1</v>
      </c>
      <c r="K17" s="351">
        <f>IF(ISNUMBER((Tasas!E17-Datos!BG17)/Datos!BG17),(Tasas!E17-Datos!BG17)/Datos!BG17," - ")</f>
        <v>0.12500000000000006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-7.1005917159763315E-2</v>
      </c>
      <c r="E18" s="354">
        <f>IF(ISNUMBER(
   IF(D_I="SI",(Datos!J18-Datos!T18)/Datos!T18,(Datos!J18+Datos!AD18-(Datos!T18+Datos!AL18))/(Datos!T18+Datos!AL18))
     ),IF(D_I="SI",(Datos!J18-Datos!T18)/Datos!T18,(Datos!J18+Datos!AD18-(Datos!T18+Datos!AL18))/(Datos!T18+Datos!AL18))," - ")</f>
        <v>-0.12371134020618557</v>
      </c>
      <c r="F18" s="354">
        <f>IF(ISNUMBER(
   IF(D_I="SI",(Datos!K18-Datos!U18)/Datos!U18,(Datos!K18+Datos!AE18-(Datos!U18+Datos!AM18))/(Datos!U18+Datos!AM18))
     ),IF(D_I="SI",(Datos!K18-Datos!U18)/Datos!U18,(Datos!K18+Datos!AE18-(Datos!U18+Datos!AM18))/(Datos!U18+Datos!AM18))," - ")</f>
        <v>5.4644808743169399E-3</v>
      </c>
      <c r="G18" s="355">
        <f>IF(ISNUMBER(
   IF(D_I="SI",(Datos!L18-Datos!V18)/Datos!V18,(Datos!L18+Datos!AF18-(Datos!V18+Datos!AN18))/(Datos!V18+Datos!AN18))
     ),IF(D_I="SI",(Datos!L18-Datos!V18)/Datos!V18,(Datos!L18+Datos!AF18-(Datos!V18+Datos!AN18))/(Datos!V18+Datos!AN18))," - ")</f>
        <v>-0.18888888888888888</v>
      </c>
      <c r="H18" s="356">
        <f>IF(ISNUMBER((Datos!M18-Datos!W18)/Datos!W18),(Datos!M18-Datos!W18)/Datos!W18," - ")</f>
        <v>-0.6428571428571429</v>
      </c>
      <c r="I18" s="357">
        <f>IF(ISNUMBER((Tasas!C18-Datos!BE18)/Datos!BE18),(Tasas!C18-Datos!BE18)/Datos!BE18," - ")</f>
        <v>-0.19329710144927537</v>
      </c>
      <c r="J18" s="355">
        <f>IF(ISNUMBER((Tasas!D18-Datos!BF18)/Datos!BF18),(Tasas!D18-Datos!BF18)/Datos!BF18," - ")</f>
        <v>-0.64479813664596275</v>
      </c>
      <c r="K18" s="358">
        <f>IF(ISNUMBER((Tasas!E18-Datos!BG18)/Datos!BG18),(Tasas!E18-Datos!BG18)/Datos!BG18," - ")</f>
        <v>-0.10406934962270929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0.11695906432748537</v>
      </c>
      <c r="E19" s="363">
        <f>IF(ISNUMBER(
   IF(J_V="SI",(Datos!J19-Datos!T19)/Datos!T19,(Datos!J19+Datos!Z19-(Datos!T19+Datos!AH19))/(Datos!T19+Datos!AH19))
     ),IF(J_V="SI",(Datos!J19-Datos!T19)/Datos!T19,(Datos!J19+Datos!Z19-(Datos!T19+Datos!AH19))/(Datos!T19+Datos!AH19))," - ")</f>
        <v>-0.10891089108910891</v>
      </c>
      <c r="F19" s="363">
        <f>IF(ISNUMBER(
   IF(J_V="SI",(Datos!K19-Datos!U19)/Datos!U19,(Datos!K19+Datos!AA19-(Datos!U19+Datos!AI19))/(Datos!U19+Datos!AI19))
     ),IF(J_V="SI",(Datos!K19-Datos!U19)/Datos!U19,(Datos!K19+Datos!AA19-(Datos!U19+Datos!AI19))/(Datos!U19+Datos!AI19))," - ")</f>
        <v>-1.5748031496062992E-2</v>
      </c>
      <c r="G19" s="364">
        <f>IF(ISNUMBER(
   IF(J_V="SI",(Datos!L19-Datos!V19)/Datos!V19,(Datos!L19+Datos!AB19-(Datos!V19+Datos!AJ19))/(Datos!V19+Datos!AJ19))
     ),IF(J_V="SI",(Datos!L19-Datos!V19)/Datos!V19,(Datos!L19+Datos!AB19-(Datos!V19+Datos!AJ19))/(Datos!V19+Datos!AJ19))," - ")</f>
        <v>3.5805626598465472E-2</v>
      </c>
      <c r="H19" s="365">
        <f>IF(ISNUMBER((Datos!M19-Datos!W19)/Datos!W19),(Datos!M19-Datos!W19)/Datos!W19," - ")</f>
        <v>-0.34375</v>
      </c>
      <c r="I19" s="362">
        <f>IF(ISNUMBER((Tasas!C19-Datos!BE19)/Datos!BE19),(Tasas!C19-Datos!BE19)/Datos!BE19," - ")</f>
        <v>5.2378516624041041E-2</v>
      </c>
      <c r="J19" s="363">
        <f>IF(ISNUMBER((Tasas!D19-Datos!BF19)/Datos!BF19),(Tasas!D19-Datos!BF19)/Datos!BF19," - ")</f>
        <v>-0.51509090909090904</v>
      </c>
      <c r="K19" s="364">
        <f>IF(ISNUMBER((Tasas!E19-Datos!BG19)/Datos!BG19),(Tasas!E19-Datos!BG19)/Datos!BG19," - ")</f>
        <v>2.7026356589147354E-2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4.111783823082274E-2</v>
      </c>
      <c r="E21" s="278">
        <f t="shared" si="1"/>
        <v>0.25113174981747299</v>
      </c>
      <c r="F21" s="278">
        <f t="shared" si="1"/>
        <v>0.33259854527520277</v>
      </c>
      <c r="G21" s="279">
        <f t="shared" si="1"/>
        <v>8.4110684486200515E-2</v>
      </c>
      <c r="H21" s="285">
        <f t="shared" si="1"/>
        <v>0.38055534866008911</v>
      </c>
      <c r="I21" s="277">
        <f t="shared" si="1"/>
        <v>0.33490107647253242</v>
      </c>
      <c r="J21" s="278">
        <f t="shared" si="1"/>
        <v>0.24068642983326397</v>
      </c>
      <c r="K21" s="279">
        <f t="shared" si="1"/>
        <v>0.18555852433277953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12BjxWNGzKaCckAkV3V6CSF/oXTUOMNQFDHl8zoE04hu4HpkEvCOYCryGkjJ6EwNNCgQG95cK2Z4TwUmmB7Q==" saltValue="+hnrxrvsO5VN8tNfmZuD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3</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44.698412698412696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159</v>
      </c>
      <c r="D16" s="225">
        <f>IF(ISNUMBER(IF(D_I="SI",Datos!I16,Datos!I16+Datos!AC16)),IF(D_I="SI",Datos!I16,Datos!I16+Datos!AC16)," - ")</f>
        <v>156</v>
      </c>
      <c r="E16" s="226">
        <f>IF(ISNUMBER(IF(D_I="SI",Datos!J16,Datos!J16+Datos!AD16)),IF(D_I="SI",Datos!J16,Datos!J16+Datos!AD16)," - ")</f>
        <v>165</v>
      </c>
      <c r="F16" s="226">
        <f>IF(ISNUMBER(IF(D_I="SI",Datos!K16,Datos!K16+Datos!AE16)),IF(D_I="SI",Datos!K16,Datos!K16+Datos!AE16)," - ")</f>
        <v>180</v>
      </c>
      <c r="G16" s="1034" t="str">
        <f>IF(Datos!E16&lt;&gt;"",Datos!E16,Datos!D16)</f>
        <v>04</v>
      </c>
      <c r="H16" s="227">
        <f>IF(ISNUMBER(IF(D_I="SI",Datos!L16,Datos!L16+Datos!AF16)),IF(D_I="SI",Datos!L16,Datos!L16+Datos!AF16)," - ")</f>
        <v>144</v>
      </c>
      <c r="I16" s="1044" t="str">
        <f>IF(ISNUMBER(Datos!AS16/Datos!BM16),Datos!AS16/Datos!BM16," - ")</f>
        <v xml:space="preserve"> - </v>
      </c>
      <c r="J16" s="1045">
        <f>IF(ISNUMBER(Datos!BY16/Datos!CN16),Datos!BY16/Datos!CN16," - ")</f>
        <v>0</v>
      </c>
      <c r="K16" s="230">
        <f t="shared" si="3"/>
        <v>-9.4339622641509441E-2</v>
      </c>
      <c r="L16" s="1025">
        <f>IF(ISNUMBER(NºAsuntos!I16/NºAsuntos!G16),(NºAsuntos!I16/NºAsuntos!G16)*11," - ")</f>
        <v>8.8000000000000007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160</v>
      </c>
      <c r="D18" s="1049">
        <f>SUBTOTAL(9,D15:D17)</f>
        <v>157</v>
      </c>
      <c r="E18" s="1050">
        <f>SUBTOTAL(9,E15:E17)</f>
        <v>170</v>
      </c>
      <c r="F18" s="1050">
        <f>SUBTOTAL(9,F15:F17)</f>
        <v>184</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163</v>
      </c>
      <c r="D19" s="1071">
        <f>SUBTOTAL(9,D9:D18)</f>
        <v>160</v>
      </c>
      <c r="E19" s="1072">
        <f>SUBTOTAL(9,E9:E18)</f>
        <v>173</v>
      </c>
      <c r="F19" s="1072">
        <f>SUBTOTAL(9,F9:F18)</f>
        <v>187</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j2AZI5LlVkZiHgcfeRwhsVqYVlrrP7nmdTbxIEWq9QVpKZQIjKx/t89jZI7wfUBzzRVSQsPdS0GfMTMRh+Vw==" saltValue="bLIKOockpvFKKlMq0BNp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kDWfsojCg5TA2i30xeqRNEggL5zDW0V5vacyjbDVSIA2WXC1Y7tLBcUVb4uFQEV6qTSvL48VrV6tohdfWv+6A==" saltValue="nNOb9kdbF0nHFwGw+ezQ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3</v>
      </c>
      <c r="K10" s="181">
        <v>3</v>
      </c>
      <c r="L10" s="181">
        <v>3</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211</v>
      </c>
      <c r="J12" s="183">
        <v>87</v>
      </c>
      <c r="K12" s="183">
        <v>55</v>
      </c>
      <c r="L12" s="183">
        <v>243</v>
      </c>
      <c r="M12" s="183">
        <v>16</v>
      </c>
      <c r="N12" s="183">
        <v>33</v>
      </c>
      <c r="O12" s="181">
        <v>12</v>
      </c>
      <c r="P12" s="183">
        <v>18</v>
      </c>
      <c r="Q12" s="183">
        <v>8</v>
      </c>
      <c r="R12" s="183">
        <v>452</v>
      </c>
      <c r="S12" s="183">
        <v>162</v>
      </c>
      <c r="T12" s="183">
        <v>93</v>
      </c>
      <c r="U12" s="183">
        <v>57</v>
      </c>
      <c r="V12" s="183">
        <v>198</v>
      </c>
      <c r="W12" s="183">
        <v>18</v>
      </c>
      <c r="X12" s="189">
        <v>30</v>
      </c>
      <c r="Y12" s="191">
        <v>11</v>
      </c>
      <c r="Z12" s="181">
        <v>10</v>
      </c>
      <c r="AA12" s="181">
        <v>8</v>
      </c>
      <c r="AB12" s="181">
        <v>13</v>
      </c>
      <c r="AC12" s="183">
        <v>0</v>
      </c>
      <c r="AD12" s="183">
        <v>0</v>
      </c>
      <c r="AE12" s="183">
        <v>0</v>
      </c>
      <c r="AF12" s="189">
        <v>0</v>
      </c>
      <c r="AG12" s="202">
        <v>11</v>
      </c>
      <c r="AH12" s="183">
        <v>16</v>
      </c>
      <c r="AI12" s="183">
        <v>14</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173</v>
      </c>
      <c r="AZ12" s="127">
        <f t="shared" si="1"/>
        <v>109</v>
      </c>
      <c r="BA12" s="127">
        <f t="shared" si="1"/>
        <v>71</v>
      </c>
      <c r="BB12" s="127">
        <f t="shared" si="1"/>
        <v>211</v>
      </c>
      <c r="BC12" s="125">
        <f>IF(ISNUMBER(X12),X12," - ")</f>
        <v>30</v>
      </c>
      <c r="BD12" s="126">
        <f t="shared" si="2"/>
        <v>0.65137614678899081</v>
      </c>
      <c r="BE12" s="127">
        <f t="shared" si="3"/>
        <v>2.971830985915493</v>
      </c>
      <c r="BF12" s="127">
        <f t="shared" si="4"/>
        <v>0.42253521126760563</v>
      </c>
      <c r="BG12" s="196">
        <f t="shared" si="5"/>
        <v>3.971830985915493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214</v>
      </c>
      <c r="J13" s="184">
        <f t="shared" si="6"/>
        <v>90</v>
      </c>
      <c r="K13" s="184">
        <f t="shared" si="6"/>
        <v>58</v>
      </c>
      <c r="L13" s="184">
        <f t="shared" si="6"/>
        <v>246</v>
      </c>
      <c r="M13" s="184">
        <f t="shared" si="6"/>
        <v>16</v>
      </c>
      <c r="N13" s="184">
        <f t="shared" si="6"/>
        <v>33</v>
      </c>
      <c r="O13" s="184">
        <f t="shared" si="6"/>
        <v>12</v>
      </c>
      <c r="P13" s="184">
        <f t="shared" si="6"/>
        <v>18</v>
      </c>
      <c r="Q13" s="184">
        <f t="shared" si="6"/>
        <v>8</v>
      </c>
      <c r="R13" s="184">
        <f t="shared" si="6"/>
        <v>452</v>
      </c>
      <c r="S13" s="184">
        <f t="shared" si="6"/>
        <v>162</v>
      </c>
      <c r="T13" s="184">
        <f t="shared" si="6"/>
        <v>93</v>
      </c>
      <c r="U13" s="184">
        <f t="shared" si="6"/>
        <v>57</v>
      </c>
      <c r="V13" s="184">
        <f t="shared" si="6"/>
        <v>198</v>
      </c>
      <c r="W13" s="184">
        <f t="shared" si="6"/>
        <v>18</v>
      </c>
      <c r="X13" s="184">
        <f t="shared" si="6"/>
        <v>30</v>
      </c>
      <c r="Y13" s="184">
        <f t="shared" si="6"/>
        <v>11</v>
      </c>
      <c r="Z13" s="184">
        <f t="shared" si="6"/>
        <v>10</v>
      </c>
      <c r="AA13" s="184">
        <f t="shared" si="6"/>
        <v>8</v>
      </c>
      <c r="AB13" s="184">
        <f t="shared" si="6"/>
        <v>13</v>
      </c>
      <c r="AC13" s="184">
        <f t="shared" si="6"/>
        <v>0</v>
      </c>
      <c r="AD13" s="184">
        <f t="shared" si="6"/>
        <v>0</v>
      </c>
      <c r="AE13" s="184">
        <f t="shared" si="6"/>
        <v>0</v>
      </c>
      <c r="AF13" s="184">
        <f>SUBTOTAL(9,AF9:AF12)</f>
        <v>0</v>
      </c>
      <c r="AG13" s="184">
        <f t="shared" ref="AG13:AT13" si="7">SUBTOTAL(9,AG8:AG12)</f>
        <v>11</v>
      </c>
      <c r="AH13" s="184">
        <f t="shared" si="7"/>
        <v>16</v>
      </c>
      <c r="AI13" s="184">
        <f t="shared" si="7"/>
        <v>14</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173</v>
      </c>
      <c r="AZ13" s="184">
        <f>SUBTOTAL(9,AZ8:AZ12)</f>
        <v>109</v>
      </c>
      <c r="BA13" s="184">
        <f>SUBTOTAL(9,BA8:BA12)</f>
        <v>71</v>
      </c>
      <c r="BB13" s="184">
        <f>SUBTOTAL(9,BB8:BB12)</f>
        <v>211</v>
      </c>
      <c r="BC13" s="184">
        <f>SUBTOTAL(9,BC8:BC12)</f>
        <v>30</v>
      </c>
      <c r="BD13" s="205">
        <f>IF(ISNUMBER(BA13/AZ13),BA13/AZ13," - ")</f>
        <v>0.65137614678899081</v>
      </c>
      <c r="BE13" s="206">
        <f>IF(ISNUMBER(BB13/BA13),BB13/BA13, " - ")</f>
        <v>2.971830985915493</v>
      </c>
      <c r="BF13" s="206">
        <f>IF(ISNUMBER(BC13/BA13),BC13/BA13, " - ")</f>
        <v>0.42253521126760563</v>
      </c>
      <c r="BG13" s="207">
        <f>IF(ISNUMBER((AY13+AZ13)/BA13),(AY13+AZ13)/BA13," - ")</f>
        <v>3.971830985915493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v>
      </c>
      <c r="J16" s="183">
        <v>165</v>
      </c>
      <c r="K16" s="183">
        <v>180</v>
      </c>
      <c r="L16" s="183">
        <v>144</v>
      </c>
      <c r="M16" s="183">
        <v>5</v>
      </c>
      <c r="N16" s="183">
        <v>145</v>
      </c>
      <c r="O16" s="181">
        <v>3</v>
      </c>
      <c r="P16" s="183">
        <v>1</v>
      </c>
      <c r="Q16" s="183">
        <v>3</v>
      </c>
      <c r="R16" s="183">
        <v>16</v>
      </c>
      <c r="S16" s="183">
        <v>168</v>
      </c>
      <c r="T16" s="183">
        <v>183</v>
      </c>
      <c r="U16" s="183">
        <v>174</v>
      </c>
      <c r="V16" s="183">
        <v>177</v>
      </c>
      <c r="W16" s="183">
        <v>12</v>
      </c>
      <c r="X16" s="189">
        <v>146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168</v>
      </c>
      <c r="AZ16" s="127">
        <f t="shared" si="9"/>
        <v>183</v>
      </c>
      <c r="BA16" s="127">
        <f t="shared" si="9"/>
        <v>174</v>
      </c>
      <c r="BB16" s="127">
        <f t="shared" si="9"/>
        <v>177</v>
      </c>
      <c r="BC16" s="125">
        <f>IF(ISNUMBER(W16),W16," - ")</f>
        <v>12</v>
      </c>
      <c r="BD16" s="126">
        <f t="shared" ref="BD16" si="11">IF(ISNUMBER(BA16/AZ16),BA16/AZ16," - ")</f>
        <v>0.95081967213114749</v>
      </c>
      <c r="BE16" s="127">
        <f t="shared" ref="BE16" si="12">IF(ISNUMBER(BB16/BA16),BB16/BA16, " - ")</f>
        <v>1.0172413793103448</v>
      </c>
      <c r="BF16" s="127">
        <f t="shared" ref="BF16" si="13">IF(ISNUMBER(BC16/BA16),BC16/BA16, " - ")</f>
        <v>6.8965517241379309E-2</v>
      </c>
      <c r="BG16" s="196">
        <f t="shared" si="10"/>
        <v>2.0172413793103448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5</v>
      </c>
      <c r="K17" s="183">
        <v>4</v>
      </c>
      <c r="L17" s="183">
        <v>2</v>
      </c>
      <c r="M17" s="183">
        <v>0</v>
      </c>
      <c r="N17" s="183">
        <v>3</v>
      </c>
      <c r="O17" s="183">
        <v>0</v>
      </c>
      <c r="P17" s="183">
        <v>0</v>
      </c>
      <c r="Q17" s="183">
        <v>0</v>
      </c>
      <c r="R17" s="183">
        <v>0</v>
      </c>
      <c r="S17" s="183">
        <v>1</v>
      </c>
      <c r="T17" s="183">
        <v>11</v>
      </c>
      <c r="U17" s="183">
        <v>9</v>
      </c>
      <c r="V17" s="183">
        <v>3</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11</v>
      </c>
      <c r="BA17" s="129">
        <f t="shared" si="14"/>
        <v>9</v>
      </c>
      <c r="BB17" s="129">
        <f t="shared" si="14"/>
        <v>3</v>
      </c>
      <c r="BC17" s="125">
        <f>IF(ISNUMBER(W17),W17," - ")</f>
        <v>2</v>
      </c>
      <c r="BD17" s="126">
        <f>IF(ISNUMBER(BA17/AZ17),BA17/AZ17," - ")</f>
        <v>0.81818181818181823</v>
      </c>
      <c r="BE17" s="127">
        <f>IF(ISNUMBER(BB17/BA17),BB17/BA17, " - ")</f>
        <v>0.33333333333333331</v>
      </c>
      <c r="BF17" s="127">
        <f>IF(ISNUMBER(BC17/BA17),BC17/BA17, " - ")</f>
        <v>0.22222222222222221</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170</v>
      </c>
      <c r="K18" s="184">
        <f t="shared" si="15"/>
        <v>184</v>
      </c>
      <c r="L18" s="184">
        <f t="shared" si="15"/>
        <v>146</v>
      </c>
      <c r="M18" s="184">
        <f t="shared" si="15"/>
        <v>5</v>
      </c>
      <c r="N18" s="184">
        <f t="shared" si="15"/>
        <v>148</v>
      </c>
      <c r="O18" s="184">
        <f t="shared" si="15"/>
        <v>3</v>
      </c>
      <c r="P18" s="184">
        <f t="shared" si="15"/>
        <v>1</v>
      </c>
      <c r="Q18" s="184">
        <f t="shared" si="15"/>
        <v>3</v>
      </c>
      <c r="R18" s="184">
        <f t="shared" si="15"/>
        <v>16</v>
      </c>
      <c r="S18" s="184">
        <f t="shared" si="15"/>
        <v>169</v>
      </c>
      <c r="T18" s="184">
        <f t="shared" si="15"/>
        <v>194</v>
      </c>
      <c r="U18" s="184">
        <f t="shared" si="15"/>
        <v>183</v>
      </c>
      <c r="V18" s="184">
        <f t="shared" si="15"/>
        <v>180</v>
      </c>
      <c r="W18" s="184">
        <f t="shared" si="15"/>
        <v>14</v>
      </c>
      <c r="X18" s="184">
        <f t="shared" si="15"/>
        <v>154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169</v>
      </c>
      <c r="AZ18" s="184">
        <f>SUBTOTAL(9,AZ14:AZ17)</f>
        <v>194</v>
      </c>
      <c r="BA18" s="184">
        <f>SUBTOTAL(9,BA14:BA17)</f>
        <v>183</v>
      </c>
      <c r="BB18" s="184">
        <f>SUBTOTAL(9,BB14:BB17)</f>
        <v>180</v>
      </c>
      <c r="BC18" s="184">
        <f>SUBTOTAL(9,BC14:BC17)</f>
        <v>14</v>
      </c>
      <c r="BD18" s="205">
        <f>IF(ISNUMBER(BA18/AZ18),BA18/AZ18," - ")</f>
        <v>0.94329896907216493</v>
      </c>
      <c r="BE18" s="206">
        <f>IF(ISNUMBER(BB18/BA18),BB18/BA18, " - ")</f>
        <v>0.98360655737704916</v>
      </c>
      <c r="BF18" s="206">
        <f>IF(ISNUMBER(BC18/BA18),BC18/BA18, " - ")</f>
        <v>7.650273224043716E-2</v>
      </c>
      <c r="BG18" s="207">
        <f>IF(ISNUMBER((AY18+AZ18)/BA18),(AY18+AZ18)/BA18," - ")</f>
        <v>1.9836065573770492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371</v>
      </c>
      <c r="J19" s="134">
        <f t="shared" si="18"/>
        <v>260</v>
      </c>
      <c r="K19" s="134">
        <f t="shared" si="18"/>
        <v>242</v>
      </c>
      <c r="L19" s="134">
        <f t="shared" si="18"/>
        <v>392</v>
      </c>
      <c r="M19" s="134">
        <f t="shared" si="18"/>
        <v>21</v>
      </c>
      <c r="N19" s="134">
        <f t="shared" si="18"/>
        <v>181</v>
      </c>
      <c r="O19" s="134">
        <f t="shared" si="18"/>
        <v>15</v>
      </c>
      <c r="P19" s="134">
        <f t="shared" si="18"/>
        <v>19</v>
      </c>
      <c r="Q19" s="134">
        <f t="shared" si="18"/>
        <v>11</v>
      </c>
      <c r="R19" s="134">
        <f t="shared" si="18"/>
        <v>468</v>
      </c>
      <c r="S19" s="134">
        <f t="shared" si="18"/>
        <v>331</v>
      </c>
      <c r="T19" s="134">
        <f t="shared" si="18"/>
        <v>287</v>
      </c>
      <c r="U19" s="134">
        <f t="shared" si="18"/>
        <v>240</v>
      </c>
      <c r="V19" s="134">
        <f t="shared" si="18"/>
        <v>378</v>
      </c>
      <c r="W19" s="134">
        <f t="shared" si="18"/>
        <v>32</v>
      </c>
      <c r="X19" s="134">
        <f t="shared" si="18"/>
        <v>184</v>
      </c>
      <c r="Y19" s="134">
        <f t="shared" si="18"/>
        <v>11</v>
      </c>
      <c r="Z19" s="134">
        <f t="shared" si="18"/>
        <v>10</v>
      </c>
      <c r="AA19" s="134">
        <f t="shared" si="18"/>
        <v>8</v>
      </c>
      <c r="AB19" s="134">
        <f t="shared" si="18"/>
        <v>13</v>
      </c>
      <c r="AC19" s="134">
        <f t="shared" si="18"/>
        <v>0</v>
      </c>
      <c r="AD19" s="134">
        <f t="shared" si="18"/>
        <v>0</v>
      </c>
      <c r="AE19" s="134">
        <f t="shared" si="18"/>
        <v>0</v>
      </c>
      <c r="AF19" s="134">
        <f t="shared" si="18"/>
        <v>0</v>
      </c>
      <c r="AG19" s="134">
        <f t="shared" si="18"/>
        <v>11</v>
      </c>
      <c r="AH19" s="134">
        <f t="shared" si="18"/>
        <v>16</v>
      </c>
      <c r="AI19" s="134">
        <f t="shared" si="18"/>
        <v>14</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342</v>
      </c>
      <c r="AZ19" s="134">
        <f>SUBTOTAL(9,AZ9:AZ18)</f>
        <v>303</v>
      </c>
      <c r="BA19" s="134">
        <f>SUBTOTAL(9,BA9:BA18)</f>
        <v>254</v>
      </c>
      <c r="BB19" s="134">
        <f>SUBTOTAL(9,BB9:BB18)</f>
        <v>391</v>
      </c>
      <c r="BC19" s="135">
        <f>SUBTOTAL(9,BC9:BC18)</f>
        <v>44</v>
      </c>
      <c r="BD19" s="213">
        <f>IF(ISNUMBER(BA19/AZ19),BA19/AZ19," - ")</f>
        <v>0.83828382838283833</v>
      </c>
      <c r="BE19" s="210">
        <f>IF(ISNUMBER(BB19/BA19),BB19/BA19, " - ")</f>
        <v>1.5393700787401574</v>
      </c>
      <c r="BF19" s="210">
        <f>IF(ISNUMBER(BC19/BA19),BC19/BA19, " - ")</f>
        <v>0.17322834645669291</v>
      </c>
      <c r="BG19" s="135">
        <f>IF(ISNUMBER((AY19+AZ19)/BA19),(AY19+AZ19)/BA19," - ")</f>
        <v>2.5393700787401574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z/c0whgkS+c7BYhuIFdek0doIcIuA/C42Ndt0nvwQe5Ryo9GKZ29zRblnOb4juPPChG95koHDa0HBwIFPc48Q==" saltValue="kRtLRmXUGMlVjKY3TGaU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Qc4ZKniOBYcZS5Q6kPB3FG771t0M6sNjLXfm53LjR/iEZmIHHgQQ/0IqNSu/zg2tL1v0r4OMMTbrci0MnPusQ==" saltValue="bkpFVMQ9rl+L+2O/N9mm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452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0.64948453608247425</v>
      </c>
      <c r="BH12" s="260">
        <f>IF(ISNUMBER(((IF(J_V="SI",Datos!L12/Datos!K12,(Datos!L12+Datos!AB12)/(Datos!K12+Datos!AA12)))*11)/factor_trimestre),((IF(J_V="SI",Datos!L12/Datos!K12,(Datos!L12+Datos!AB12)/(Datos!K12+Datos!AA12)))*11)/factor_trimestre," - ")</f>
        <v>8.1269841269841265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2.2624434389140271E-2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8</v>
      </c>
      <c r="AD13" s="899">
        <f t="shared" si="1"/>
        <v>0</v>
      </c>
      <c r="AE13" s="899">
        <f t="shared" si="1"/>
        <v>0</v>
      </c>
      <c r="AF13" s="899">
        <f t="shared" si="1"/>
        <v>3</v>
      </c>
      <c r="AG13" s="899">
        <f t="shared" si="1"/>
        <v>0</v>
      </c>
      <c r="AH13" s="899">
        <f t="shared" si="1"/>
        <v>13</v>
      </c>
      <c r="AI13" s="899">
        <f t="shared" si="1"/>
        <v>0</v>
      </c>
      <c r="AJ13" s="899">
        <f t="shared" si="1"/>
        <v>0</v>
      </c>
      <c r="AK13" s="899">
        <f t="shared" si="1"/>
        <v>0</v>
      </c>
      <c r="AL13" s="899">
        <f t="shared" si="1"/>
        <v>0</v>
      </c>
      <c r="AM13" s="899">
        <f t="shared" si="1"/>
        <v>452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33</v>
      </c>
      <c r="BE13" s="899">
        <f t="shared" si="1"/>
        <v>0</v>
      </c>
      <c r="BF13" s="899">
        <f t="shared" si="1"/>
        <v>0</v>
      </c>
      <c r="BG13" s="899">
        <f>IF(ISNUMBER(Datos!K13/Datos!J13),Datos!K13/Datos!J13," - ")</f>
        <v>0.64444444444444449</v>
      </c>
      <c r="BH13" s="903">
        <f>IF(ISNUMBER(((Datos!L13/Datos!K13)*11)/factor_trimestre),((Datos!L13/Datos!K13)*11)/factor_trimestre," - ")</f>
        <v>8.4827586206896548</v>
      </c>
      <c r="BI13" s="899">
        <f>IF(ISNUMBER('Resol  Asuntos'!D13/NºAsuntos!G13),'Resol  Asuntos'!D13/NºAsuntos!G13," - ")</f>
        <v>0.24242424242424243</v>
      </c>
      <c r="BJ13" s="899" t="str">
        <f>IF(ISNUMBER(Datos!CI13/Datos!CJ13),Datos!CI13/Datos!CJ13," - ")</f>
        <v xml:space="preserve"> - </v>
      </c>
      <c r="BK13" s="899">
        <f>SUBTOTAL(9,BK8:BK12)</f>
        <v>0</v>
      </c>
      <c r="BL13" s="899">
        <f>IF(ISNUMBER((I13-AB13+L13)/(F13)),(I13-AB13+L13)/(F13)," - ")</f>
        <v>-1</v>
      </c>
      <c r="BM13" s="904">
        <f>SUBTOTAL(9,BM9:BM12)</f>
        <v>2.2624434389140271E-2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159</v>
      </c>
      <c r="G16" s="598">
        <f>IF(ISNUMBER(IF(D_I="SI",Datos!I16,Datos!I16+Datos!AC16)),IF(D_I="SI",Datos!I16,Datos!I16+Datos!AC16)," - ")</f>
        <v>156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v>
      </c>
      <c r="AC16" s="226">
        <f>IF(ISNUMBER(Datos!Q16),Datos!Q16," - ")</f>
        <v>3</v>
      </c>
      <c r="AD16" s="334"/>
      <c r="AE16" s="484"/>
      <c r="AF16" s="596">
        <f>IF(ISNUMBER(IF(D_I="SI",Datos!L16,Datos!L16+Datos!AF16)),IF(D_I="SI",Datos!L16,Datos!L16+Datos!AF16)," - ")</f>
        <v>144</v>
      </c>
      <c r="AG16" s="334"/>
      <c r="AH16" s="334"/>
      <c r="AI16" s="334"/>
      <c r="AJ16" s="334"/>
      <c r="AK16" s="334"/>
      <c r="AL16" s="479"/>
      <c r="AM16" s="335">
        <f>IF(ISNUMBER(Datos!R16),Datos!R16," - ")</f>
        <v>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v>
      </c>
      <c r="BD16" s="229">
        <f>IF(ISNUMBER(Datos!N16),Datos!N16," - ")</f>
        <v>145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1.0909090909090908</v>
      </c>
      <c r="BH16" s="260">
        <f>IF(ISNUMBER(((IF(D_I="SI",Datos!L16/Datos!K16,(Datos!L16+Datos!AF16)/(Datos!K16+Datos!AE16)))*11)/factor_trimestre),((IF(D_I="SI",Datos!L16/Datos!K16,(Datos!L16+Datos!AF16)/(Datos!K16+Datos!AE16)))*11)/factor_trimestre," - ")</f>
        <v>1.6</v>
      </c>
      <c r="BI16" s="243">
        <f>IF(ISNUMBER('Resol  Asuntos'!D16/NºAsuntos!G16),'Resol  Asuntos'!D16/NºAsuntos!G16," - ")</f>
        <v>2.7777777777777776E-2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159</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v>
      </c>
      <c r="AC18" s="899">
        <f t="shared" si="4"/>
        <v>3</v>
      </c>
      <c r="AD18" s="899">
        <f t="shared" si="4"/>
        <v>0</v>
      </c>
      <c r="AE18" s="899">
        <f t="shared" si="4"/>
        <v>0</v>
      </c>
      <c r="AF18" s="899">
        <f t="shared" si="4"/>
        <v>146</v>
      </c>
      <c r="AG18" s="899">
        <f t="shared" si="4"/>
        <v>0</v>
      </c>
      <c r="AH18" s="899">
        <f t="shared" si="4"/>
        <v>0</v>
      </c>
      <c r="AI18" s="899">
        <f t="shared" si="4"/>
        <v>0</v>
      </c>
      <c r="AJ18" s="899">
        <f t="shared" si="4"/>
        <v>0</v>
      </c>
      <c r="AK18" s="899">
        <f t="shared" si="4"/>
        <v>0</v>
      </c>
      <c r="AL18" s="899">
        <f t="shared" si="4"/>
        <v>0</v>
      </c>
      <c r="AM18" s="899">
        <f t="shared" si="4"/>
        <v>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v>
      </c>
      <c r="BD18" s="899">
        <f t="shared" si="4"/>
        <v>148</v>
      </c>
      <c r="BE18" s="899">
        <f t="shared" si="4"/>
        <v>0</v>
      </c>
      <c r="BF18" s="899">
        <f t="shared" si="4"/>
        <v>0</v>
      </c>
      <c r="BG18" s="899">
        <f>IF(ISNUMBER(Datos!K18/Datos!J18),Datos!K18/Datos!J18," - ")</f>
        <v>1.0823529411764705</v>
      </c>
      <c r="BH18" s="903">
        <f>IF(ISNUMBER(((Datos!L18/Datos!K18)*11)/factor_trimestre),((Datos!L18/Datos!K18)*11)/factor_trimestre," - ")</f>
        <v>1.5869565217391304</v>
      </c>
      <c r="BI18" s="899">
        <f>SUBTOTAL(9,BI15:BI17)</f>
        <v>2.7777777777777776E-2</v>
      </c>
      <c r="BJ18" s="899">
        <f>SUBTOTAL(9,BJ15:BJ17)</f>
        <v>0</v>
      </c>
      <c r="BK18" s="899">
        <f>SUBTOTAL(9,BK15:BK17)</f>
        <v>0</v>
      </c>
      <c r="BL18" s="899">
        <f>IF(ISNUMBER((I18-AB18+L18)/(F18)),(I18-AB18+L18)/(F18)," - ")</f>
        <v>-1.1572327044025157</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162</v>
      </c>
      <c r="G19" s="820">
        <f t="shared" si="6"/>
        <v>160</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v>
      </c>
      <c r="AC19" s="821">
        <f t="shared" si="7"/>
        <v>11</v>
      </c>
      <c r="AD19" s="821">
        <f t="shared" si="7"/>
        <v>0</v>
      </c>
      <c r="AE19" s="821">
        <f t="shared" si="7"/>
        <v>0</v>
      </c>
      <c r="AF19" s="828">
        <f t="shared" si="7"/>
        <v>149</v>
      </c>
      <c r="AG19" s="828">
        <f t="shared" si="7"/>
        <v>0</v>
      </c>
      <c r="AH19" s="828">
        <f t="shared" si="7"/>
        <v>13</v>
      </c>
      <c r="AI19" s="828">
        <f t="shared" si="7"/>
        <v>0</v>
      </c>
      <c r="AJ19" s="821">
        <f t="shared" si="7"/>
        <v>0</v>
      </c>
      <c r="AK19" s="828">
        <f t="shared" si="7"/>
        <v>0</v>
      </c>
      <c r="AL19" s="828">
        <f t="shared" si="7"/>
        <v>0</v>
      </c>
      <c r="AM19" s="828">
        <f t="shared" si="7"/>
        <v>468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v>
      </c>
      <c r="BD19" s="820">
        <f t="shared" si="7"/>
        <v>181</v>
      </c>
      <c r="BE19" s="820">
        <f t="shared" si="7"/>
        <v>0</v>
      </c>
      <c r="BF19" s="830">
        <f t="shared" si="7"/>
        <v>0</v>
      </c>
      <c r="BG19" s="915">
        <f>IF(ISNUMBER(Datos!K19/Datos!J19),Datos!K19/Datos!J19," - ")</f>
        <v>0.93076923076923079</v>
      </c>
      <c r="BH19" s="915">
        <f>IF(ISNUMBER(((Datos!L19/Datos!K19)*11)/factor_trimestre),((Datos!L19/Datos!K19)*11)/factor_trimestre," - ")</f>
        <v>3.2396694214876032</v>
      </c>
      <c r="BI19" s="813">
        <f>IF(ISNUMBER(Datos!J19/Datos!I19),Datos!J19/Datos!I19," - ")</f>
        <v>0.70080862533692723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-1.154320987654321</v>
      </c>
      <c r="BM19" s="889">
        <f>IF(ISNUMBER((Datos!P19-Datos!Q19+R19)/(Datos!R19-Datos!P19+Datos!Q19-R19)),(Datos!P19-Datos!Q19+R19)/(Datos!R19-Datos!P19+Datos!Q19-R19)," - ")</f>
        <v>1.7391304347826087E-2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90.066641993581612</v>
      </c>
      <c r="G21" s="552">
        <f>IF(ISNUMBER(STDEV(G8:G18)),STDEV(G8:G18),"-")</f>
        <v>84.445248534183378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97.870833244639343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7.3212020870892509</v>
      </c>
      <c r="BD21" s="551"/>
      <c r="BE21" s="551">
        <f>IF(ISNUMBER(STDEV(BE8:BE18)),STDEV(BE8:BE18),"-")</f>
        <v>0</v>
      </c>
      <c r="BF21" s="556">
        <f>IF(ISNUMBER(STDEV(BF8:BF18)),STDEV(BF8:BF18),"-")</f>
        <v>0</v>
      </c>
      <c r="BG21" s="775">
        <f>IF(ISNUMBER(STDEV(BG8:BG18)),STDEV(BG8:BG18),"-")</f>
        <v>0.20728039524409952</v>
      </c>
      <c r="BH21" s="776">
        <f>IF(ISNUMBER(STDEV(BH8:BH18)),STDEV(BH8:BH18),"-")</f>
        <v>3.5062395684175685</v>
      </c>
      <c r="BI21" s="249">
        <f>IF(ISNUMBER(STDEV(BI8:BI18)),STDEV(BI8:BI18),"-")</f>
        <v>0.11271606391059318</v>
      </c>
      <c r="BJ21" s="230" t="str">
        <f>IF(ISNUMBER(BL21/BM21),BL21/BM21," - ")</f>
        <v xml:space="preserve"> - </v>
      </c>
      <c r="BK21" s="575"/>
      <c r="BL21" s="559">
        <f>IF(ISNUMBER(STDEV(BL8:BL18)),STDEV(BL8:BL18),"-")</f>
        <v>0.11118031150731877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e5R4l14rqbKfCT3+DkvZz+b3OU05HGWr9hdRQKfbb3A2MuCSCuzic4J2Si3yMadbvhSxH97NytCeDy2YinS9g==" saltValue="qb58YwJPhIWMZAbK2oE15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DEL NARCEA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452</v>
      </c>
      <c r="AF12" s="229" t="str">
        <f>IF(ISNUMBER(Datos!BV12),Datos!BV12," - ")</f>
        <v xml:space="preserve"> - </v>
      </c>
      <c r="AG12" s="225" t="str">
        <f>IF(ISNUMBER(Datos!DV12),Datos!DV12," - ")</f>
        <v xml:space="preserve"> - </v>
      </c>
      <c r="AH12" s="298"/>
      <c r="AI12" s="227"/>
      <c r="AJ12" s="225">
        <f>IF(ISNUMBER(Datos!M12),Datos!M12," - ")</f>
        <v>16</v>
      </c>
      <c r="AK12" s="229">
        <f>IF(ISNUMBER(Datos!N12),Datos!N12," - ")</f>
        <v>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8.1269841269841265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2.2624434389140271E-2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8</v>
      </c>
      <c r="AA13" s="900">
        <f t="shared" si="2"/>
        <v>3</v>
      </c>
      <c r="AB13" s="900">
        <f t="shared" si="2"/>
        <v>0</v>
      </c>
      <c r="AC13" s="900">
        <f t="shared" si="2"/>
        <v>0</v>
      </c>
      <c r="AD13" s="900">
        <f t="shared" si="2"/>
        <v>0</v>
      </c>
      <c r="AE13" s="900">
        <f t="shared" si="2"/>
        <v>452</v>
      </c>
      <c r="AF13" s="908">
        <f t="shared" si="2"/>
        <v>0</v>
      </c>
      <c r="AG13" s="908">
        <f t="shared" si="2"/>
        <v>0</v>
      </c>
      <c r="AH13" s="908">
        <f t="shared" si="2"/>
        <v>0</v>
      </c>
      <c r="AI13" s="908">
        <f t="shared" si="2"/>
        <v>0</v>
      </c>
      <c r="AJ13" s="908">
        <f t="shared" si="2"/>
        <v>16</v>
      </c>
      <c r="AK13" s="908">
        <f t="shared" si="2"/>
        <v>33</v>
      </c>
      <c r="AL13" s="908">
        <f t="shared" si="2"/>
        <v>0</v>
      </c>
      <c r="AM13" s="908">
        <f t="shared" si="2"/>
        <v>0</v>
      </c>
      <c r="AN13" s="908">
        <f t="shared" si="2"/>
        <v>0</v>
      </c>
      <c r="AO13" s="904">
        <f>IF(ISNUMBER(((NºAsuntos!I13/NºAsuntos!G13)*11)/factor_trimestre),((NºAsuntos!I13/NºAsuntos!G13)*11)/factor_trimestre," - ")</f>
        <v>7.8484848484848477</v>
      </c>
      <c r="AP13" s="910" t="str">
        <f>IF(ISNUMBER(Datos!CI13/Datos!CJ13),Datos!CI13/Datos!CJ13," - ")</f>
        <v xml:space="preserve"> - </v>
      </c>
      <c r="AQ13" s="928">
        <f t="shared" ref="AQ13:AV13" si="3">SUBTOTAL(9,AQ9:AQ12)</f>
        <v>0</v>
      </c>
      <c r="AR13" s="928">
        <f t="shared" si="3"/>
        <v>2.2624434389140271E-2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159</v>
      </c>
      <c r="G16" s="225">
        <f>IF(ISNUMBER(IF(D_I="SI",Datos!I16,Datos!I16+Datos!AC16)),IF(D_I="SI",Datos!I16,Datos!I16+Datos!AC16)," - ")</f>
        <v>156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v>
      </c>
      <c r="Z16" s="619">
        <f>IF(ISNUMBER(Datos!Q16),Datos!Q16," - ")</f>
        <v>3</v>
      </c>
      <c r="AA16" s="332">
        <f>IF(ISNUMBER(IF(D_I="SI",Datos!L16,Datos!L16+Datos!AF16)),IF(D_I="SI",Datos!L16,Datos!L16+Datos!AF16)," - ")</f>
        <v>144</v>
      </c>
      <c r="AB16" s="334"/>
      <c r="AC16" s="334"/>
      <c r="AD16" s="484"/>
      <c r="AE16" s="484">
        <f>IF(ISNUMBER(Datos!R16),Datos!R16," - ")</f>
        <v>16</v>
      </c>
      <c r="AF16" s="229" t="str">
        <f>IF(ISNUMBER(Datos!BV16),Datos!BV16," - ")</f>
        <v xml:space="preserve"> - </v>
      </c>
      <c r="AG16" s="225"/>
      <c r="AH16" s="298"/>
      <c r="AI16" s="227"/>
      <c r="AJ16" s="225">
        <f>IF(ISNUMBER(Datos!M16),Datos!M16," - ")</f>
        <v>5</v>
      </c>
      <c r="AK16" s="229">
        <f>IF(ISNUMBER(Datos!N16),Datos!N16," - ")</f>
        <v>145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159</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v>
      </c>
      <c r="Z18" s="932">
        <f t="shared" si="5"/>
        <v>3</v>
      </c>
      <c r="AA18" s="932">
        <f t="shared" si="5"/>
        <v>146</v>
      </c>
      <c r="AB18" s="932">
        <f t="shared" si="5"/>
        <v>0</v>
      </c>
      <c r="AC18" s="932">
        <f t="shared" si="5"/>
        <v>0</v>
      </c>
      <c r="AD18" s="932">
        <f t="shared" si="5"/>
        <v>0</v>
      </c>
      <c r="AE18" s="932">
        <f t="shared" si="5"/>
        <v>16</v>
      </c>
      <c r="AF18" s="932">
        <f t="shared" si="5"/>
        <v>0</v>
      </c>
      <c r="AG18" s="932">
        <f t="shared" si="5"/>
        <v>0</v>
      </c>
      <c r="AH18" s="932">
        <f t="shared" si="5"/>
        <v>0</v>
      </c>
      <c r="AI18" s="932">
        <f t="shared" si="5"/>
        <v>0</v>
      </c>
      <c r="AJ18" s="932">
        <f t="shared" si="5"/>
        <v>5</v>
      </c>
      <c r="AK18" s="932">
        <f t="shared" si="5"/>
        <v>148</v>
      </c>
      <c r="AL18" s="932">
        <f t="shared" si="5"/>
        <v>0</v>
      </c>
      <c r="AM18" s="932">
        <f t="shared" si="5"/>
        <v>0</v>
      </c>
      <c r="AN18" s="932">
        <f t="shared" si="5"/>
        <v>0</v>
      </c>
      <c r="AO18" s="934">
        <f>IF(ISNUMBER(((NºAsuntos!I18/NºAsuntos!G18)*11)/factor_trimestre),((NºAsuntos!I18/NºAsuntos!G18)*11)/factor_trimestre," - ")</f>
        <v>1.5869565217391304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162</v>
      </c>
      <c r="G19" s="820">
        <f t="shared" si="7"/>
        <v>160</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v>
      </c>
      <c r="Z19" s="827">
        <f t="shared" si="8"/>
        <v>11</v>
      </c>
      <c r="AA19" s="828">
        <f t="shared" si="8"/>
        <v>149</v>
      </c>
      <c r="AB19" s="828">
        <f t="shared" si="8"/>
        <v>0</v>
      </c>
      <c r="AC19" s="828">
        <f t="shared" si="8"/>
        <v>0</v>
      </c>
      <c r="AD19" s="829">
        <f t="shared" si="8"/>
        <v>0</v>
      </c>
      <c r="AE19" s="829">
        <f t="shared" si="8"/>
        <v>468</v>
      </c>
      <c r="AF19" s="830">
        <f t="shared" si="8"/>
        <v>0</v>
      </c>
      <c r="AG19" s="831">
        <f t="shared" si="8"/>
        <v>0</v>
      </c>
      <c r="AH19" s="832">
        <f t="shared" si="8"/>
        <v>0</v>
      </c>
      <c r="AI19" s="830">
        <f t="shared" si="8"/>
        <v>0</v>
      </c>
      <c r="AJ19" s="820">
        <f t="shared" si="8"/>
        <v>21</v>
      </c>
      <c r="AK19" s="820">
        <f t="shared" si="8"/>
        <v>181</v>
      </c>
      <c r="AL19" s="820">
        <f t="shared" si="8"/>
        <v>0</v>
      </c>
      <c r="AM19" s="833">
        <f t="shared" si="8"/>
        <v>0</v>
      </c>
      <c r="AN19" s="823">
        <f>IF(ISNUMBER(Datos!K19/Datos!J19),Datos!K19/Datos!J19," - ")</f>
        <v>0.93076923076923079</v>
      </c>
      <c r="AO19" s="823">
        <f>IF(ISNUMBER(FIND("06",Criterios!A8,1)),(IF(ISNUMBER(((Datos!R19/Datos!Q19)*11)/factor_trimestre),((Datos!R19/Datos!Q19)*11)/factor_trimestre," - ")),(IF(ISNUMBER(((Datos!L19/Datos!K19)*11)/factor_trimestre),((Datos!L19/Datos!K19)*11)/factor_trimestre," - ")))</f>
        <v>3.2396694214876032</v>
      </c>
      <c r="AP19" s="834" t="str">
        <f>IF(ISNUMBER(Datos!CI19/Datos!CJ19),Datos!CI19/Datos!CJ19," - ")</f>
        <v xml:space="preserve"> - </v>
      </c>
      <c r="AQ19" s="834">
        <f>IF(OR(ISNUMBER(FIND("01",Criterios!A8,1)),ISNUMBER(FIND("02",Criterios!A8,1)),ISNUMBER(FIND("03",Criterios!A8,1)),ISNUMBER(FIND("04",Criterios!A8,1))),(J19-Y19+K19)/(F19-K19),(I19-Y19+K19)/(F19-K19))</f>
        <v>-1.154320987654321</v>
      </c>
      <c r="AR19" s="834">
        <f>IF(ISNUMBER((Datos!P19-Datos!Q19+O19)/(Datos!R19-Datos!P19+Datos!Q19-O19)),(Datos!P19-Datos!Q19+O19)/(Datos!R19-Datos!P19+Datos!Q19-O19)," - ")</f>
        <v>1.7391304347826087E-2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90.066641993581612</v>
      </c>
      <c r="G21" s="552">
        <f>IF(ISNUMBER(STDEV(G8:G18)),STDEV(G8:G18),"-")</f>
        <v>84.445248534183378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7.3212020870892509</v>
      </c>
      <c r="AK21" s="252"/>
      <c r="AL21" s="252">
        <f>IF(ISNUMBER(STDEV(AL8:AL18)),STDEV(AL8:AL18),"-")</f>
        <v>0</v>
      </c>
      <c r="AM21" s="254">
        <f>IF(ISNUMBER(STDEV(AM8:AM18)),STDEV(AM8:AM18),"-")</f>
        <v>0</v>
      </c>
      <c r="AN21" s="539">
        <f>IF(ISNUMBER(STDEV(AN8:AN18)),STDEV(AN8:AN18),"-")</f>
        <v>0</v>
      </c>
      <c r="AO21" s="540">
        <f>IF(ISNUMBER(STDEV(AO8:AO18)),STDEV(AO8:AO18),"-")</f>
        <v>3.3425389281948097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Vzf/EcuExclok/oz9VSRWudmFT6LJd1VZal0R7P36yKi7t5BybIJpK8sTmQzh6f4boMuMoHp8NRPf5O2d4w+A==" saltValue="ZWb1mf/EgBQ4gYEd0b8O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Wv8fy6wjI9jOIA5WNk0O2uFb7F/9sPZ6WS3SaWn8VApqvNJE1LjkRiJ0UAfnqFpKLlTX0Esrs1WPhN+QDo3+g==" saltValue="d943fIyHk+qXTFh/FJSa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zoL5F/jZ++8Y7sktJNHzcB5aGK44VkPhfhXKTH5FlgSY9IC3b5IQSo+/VUB4TIHKZXVuS9Ae5dkgYESkCRqw==" saltValue="URmT0ijYzOGiKVD8XoqU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0.24242424242424243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0.17141982574219336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ua5U38O6+bzIco/l+W+oCptjJfCnzMC8UdVeEDMnhFYUXfF6HFkLwcXCzloJL7CFkr0fOnNgCD0jaFUfCWeCw==" saltValue="EzZZ4Qp+1MIYbT5mMyIg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PIbGbD/P/V2l9QhHVNcBqJR0rU5WeOZdiXVVDZIZ1NWssVaC1O0P+pC0Yanr6ywDt6SeXRPkr6rO/2VzRlgvw==" saltValue="jr50hbCrGgSkq3Yzwk9n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8.1269841269841265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2.2624434389140271E-2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8</v>
      </c>
      <c r="AE13" s="939">
        <f t="shared" si="1"/>
        <v>0</v>
      </c>
      <c r="AF13" s="939">
        <f t="shared" si="1"/>
        <v>3</v>
      </c>
      <c r="AG13" s="939">
        <f t="shared" si="1"/>
        <v>0</v>
      </c>
      <c r="AH13" s="939">
        <f t="shared" si="1"/>
        <v>452</v>
      </c>
      <c r="AI13" s="939">
        <f t="shared" si="1"/>
        <v>0</v>
      </c>
      <c r="AJ13" s="939">
        <f t="shared" si="1"/>
        <v>0</v>
      </c>
      <c r="AK13" s="939">
        <f t="shared" si="1"/>
        <v>0</v>
      </c>
      <c r="AL13" s="939">
        <f t="shared" si="1"/>
        <v>16</v>
      </c>
      <c r="AM13" s="939">
        <f t="shared" si="1"/>
        <v>33</v>
      </c>
      <c r="AN13" s="939">
        <f t="shared" si="1"/>
        <v>0</v>
      </c>
      <c r="AO13" s="939">
        <f t="shared" si="1"/>
        <v>0</v>
      </c>
      <c r="AP13" s="944">
        <f>IF(ISNUMBER(((Datos!L13/Datos!K13)*11)/factor_trimestre),((Datos!L13/Datos!K13)*11)/factor_trimestre," - ")</f>
        <v>8.4827586206896548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2.2624434389140271E-2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1.5869565217391304</v>
      </c>
      <c r="AQ18" s="944">
        <f>IF(ISNUMBER(((Datos!M18/Datos!L18)*11)/factor_trimestre),((Datos!M18/Datos!L18)*11)/factor_trimestre," - ")</f>
        <v>6.8493150684931503E-2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-7.1428571428571425E-2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8</v>
      </c>
      <c r="AE19" s="957">
        <f t="shared" si="5"/>
        <v>0</v>
      </c>
      <c r="AF19" s="958">
        <f t="shared" si="5"/>
        <v>3</v>
      </c>
      <c r="AG19" s="958">
        <f t="shared" si="5"/>
        <v>0</v>
      </c>
      <c r="AH19" s="958">
        <f t="shared" si="5"/>
        <v>452</v>
      </c>
      <c r="AI19" s="958">
        <f t="shared" si="5"/>
        <v>0</v>
      </c>
      <c r="AJ19" s="959">
        <f t="shared" si="5"/>
        <v>0</v>
      </c>
      <c r="AK19" s="959">
        <f t="shared" si="5"/>
        <v>0</v>
      </c>
      <c r="AL19" s="951">
        <f t="shared" si="5"/>
        <v>16</v>
      </c>
      <c r="AM19" s="951">
        <f t="shared" si="5"/>
        <v>33</v>
      </c>
      <c r="AN19" s="951">
        <f t="shared" si="5"/>
        <v>0</v>
      </c>
      <c r="AO19" s="951">
        <f t="shared" si="5"/>
        <v>0</v>
      </c>
      <c r="AP19" s="951">
        <f>IF(ISNUMBER(((Datos!L19/Datos!K19)*11)/factor_trimestre),((Datos!L19/Datos!K19)*11)/factor_trimestre," - ")</f>
        <v>3.2396694214876032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1.7391304347826087E-2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3.7659363808686837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mQ9o0OKkX3ukZ0C1jKeaD9Fmz7SqrxKnjq53YdujeLdlQKUEw29KwRXeA/Uz0XMs7riuVdSgeXNK8eprk1JPg==" saltValue="0/BMQ+405dxj7zQF05Oi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